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9" activeTab="10"/>
  </bookViews>
  <sheets>
    <sheet name="2019年地方一般公共预算收入执行情况表" sheetId="1" r:id="rId1"/>
    <sheet name="2019年一般公共预算支出执行情况表" sheetId="2" r:id="rId2"/>
    <sheet name="2019年一般公共预算收支执行情况平衡表" sheetId="3" r:id="rId3"/>
    <sheet name="2019年度政府性基金预算收入执行情况表" sheetId="4" r:id="rId4"/>
    <sheet name="2019年政府性基金预算支出执行情况表" sheetId="5" r:id="rId5"/>
    <sheet name="2019年政府性基金预算收支执行情况平衡表" sheetId="6" r:id="rId6"/>
    <sheet name="2019年国有资本经营预算收支执行情况平衡表" sheetId="7" r:id="rId7"/>
    <sheet name="2019年社会保险基金预算收支执行情况平衡表" sheetId="8" r:id="rId8"/>
    <sheet name="2020年地方一般公共预算收入预算表（草案）" sheetId="9" r:id="rId9"/>
    <sheet name="2020年一般公共预算支出预算表（草案）" sheetId="10" r:id="rId10"/>
    <sheet name="2020年一般公共预算收支预算平衡表（草案）" sheetId="11" r:id="rId11"/>
    <sheet name="2020年基本支出经济科目预算明细表" sheetId="18" r:id="rId12"/>
    <sheet name="2020年政府性基金收入预算表（草案）" sheetId="12" r:id="rId13"/>
    <sheet name="2020年政府性基金预算支出预算表（草案）" sheetId="13" r:id="rId14"/>
    <sheet name="2020年政府性基金预算收支平衡表" sheetId="14" r:id="rId15"/>
    <sheet name="2020年国有资本经营收入预算表（草案）" sheetId="15" r:id="rId16"/>
    <sheet name="2020年国有资本经营支出预算表（草案）" sheetId="16" r:id="rId17"/>
    <sheet name="2020年社会保险基金收支预算表（草案）" sheetId="17" r:id="rId18"/>
  </sheets>
  <externalReferences>
    <externalReference r:id="rId19"/>
  </externalReferences>
  <definedNames>
    <definedName name="_xlnm._FilterDatabase" localSheetId="9" hidden="1">'2020年一般公共预算支出预算表（草案）'!$A$4:$C$1275</definedName>
    <definedName name="_xlnm.Print_Area" localSheetId="0">'2019年地方一般公共预算收入执行情况表'!$A$1:$F$31</definedName>
    <definedName name="_xlnm.Print_Area" localSheetId="5">'2019年政府性基金预算收支执行情况平衡表'!$A$1:$D$19</definedName>
    <definedName name="_xlnm.Print_Titles" localSheetId="3">'2019年度政府性基金预算收入执行情况表'!$2:$4</definedName>
    <definedName name="_xlnm.Print_Titles" localSheetId="2">'2019年一般公共预算收支执行情况平衡表'!$2:$4</definedName>
    <definedName name="_xlnm.Print_Titles" localSheetId="1">'2019年一般公共预算支出执行情况表'!$2:$4</definedName>
    <definedName name="_xlnm.Print_Titles" localSheetId="5">'2019年政府性基金预算收支执行情况平衡表'!$2:$4</definedName>
    <definedName name="_xlnm.Print_Titles" localSheetId="4">'2019年政府性基金预算支出执行情况表'!$2:$4</definedName>
    <definedName name="_xlnm.Print_Titles" localSheetId="11">'2020年基本支出经济科目预算明细表'!$1:$2</definedName>
    <definedName name="_xlnm.Print_Titles" localSheetId="10">'2020年一般公共预算收支预算平衡表（草案）'!$1:$5</definedName>
    <definedName name="_xlnm.Print_Titles" localSheetId="9">'2020年一般公共预算支出预算表（草案）'!$2:$4</definedName>
    <definedName name="_xlnm.Print_Titles" localSheetId="13">'2020年政府性基金预算支出预算表（草案）'!$2:$4</definedName>
  </definedNames>
  <calcPr calcId="144525"/>
</workbook>
</file>

<file path=xl/sharedStrings.xml><?xml version="1.0" encoding="utf-8"?>
<sst xmlns="http://schemas.openxmlformats.org/spreadsheetml/2006/main" count="2348" uniqueCount="1807">
  <si>
    <t>表1</t>
  </si>
  <si>
    <t>2019年地方一般公共预算收入执行情况表</t>
  </si>
  <si>
    <t>单位：万元</t>
  </si>
  <si>
    <t>预 算 科 目</t>
  </si>
  <si>
    <t>年　初
预算数</t>
  </si>
  <si>
    <t>调  整
预算数</t>
  </si>
  <si>
    <t>实  际
执行数</t>
  </si>
  <si>
    <t>执行数
占预算%</t>
  </si>
  <si>
    <t>同口径
增长%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</si>
  <si>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</si>
  <si>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</si>
  <si>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</si>
  <si>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</si>
  <si>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</si>
  <si>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</si>
  <si>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</si>
  <si>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</si>
  <si>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</si>
  <si>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</si>
  <si>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</si>
  <si>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</si>
  <si>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</si>
  <si>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</si>
  <si>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</si>
  <si>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</si>
  <si>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</si>
  <si>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</si>
  <si>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</si>
  <si>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</si>
  <si>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</si>
  <si>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</si>
  <si>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</si>
  <si>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</si>
  <si>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</si>
  <si>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　入　合　计</t>
  </si>
  <si>
    <t>表2</t>
  </si>
  <si>
    <t>2019年一般公共预算支出执行情况表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</si>
  <si>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</si>
  <si>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</si>
  <si>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</si>
  <si>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</si>
  <si>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</si>
  <si>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</si>
  <si>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</si>
  <si>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</si>
  <si>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</si>
  <si>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</si>
  <si>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</si>
  <si>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</si>
  <si>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</si>
  <si>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</si>
  <si>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</si>
  <si>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</si>
  <si>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</si>
  <si>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</si>
  <si>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</si>
  <si>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</si>
  <si>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</si>
  <si>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</si>
  <si>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</si>
  <si>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</si>
  <si>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</t>
  </si>
  <si>
    <t>一般公共预算支出合计</t>
  </si>
  <si>
    <t>表3</t>
  </si>
  <si>
    <t>2019年一般公共预算收支执行情况平衡表</t>
  </si>
  <si>
    <t>项　　　　目</t>
  </si>
  <si>
    <t>执行数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</si>
  <si>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</si>
  <si>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</si>
  <si>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</si>
  <si>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</si>
  <si>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</si>
  <si>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</si>
  <si>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</si>
  <si>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</si>
  <si>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</si>
  <si>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</si>
  <si>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</si>
  <si>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</si>
  <si>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</si>
  <si>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</si>
  <si>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</si>
  <si>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</si>
  <si>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</si>
  <si>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</si>
  <si>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</si>
  <si>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</si>
  <si>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</si>
  <si>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</si>
  <si>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</si>
  <si>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</si>
  <si>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</si>
  <si>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</si>
  <si>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</si>
  <si>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</si>
  <si>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</si>
  <si>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</si>
  <si>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</si>
  <si>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</si>
  <si>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</si>
  <si>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</si>
  <si>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</si>
  <si>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</si>
  <si>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</si>
  <si>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</si>
  <si>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</si>
  <si>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</si>
  <si>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</si>
  <si>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</si>
  <si>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</si>
  <si>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</si>
  <si>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</si>
  <si>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</si>
  <si>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</si>
  <si>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</si>
  <si>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</si>
  <si>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</si>
  <si>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</si>
  <si>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</si>
  <si>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</si>
  <si>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</si>
  <si>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</si>
  <si>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</si>
  <si>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</si>
  <si>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</si>
  <si>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</si>
  <si>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</si>
  <si>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</si>
  <si>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</si>
  <si>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</si>
  <si>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</si>
  <si>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</si>
  <si>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</si>
  <si>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</si>
  <si>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</si>
  <si>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</si>
  <si>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</si>
  <si>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</si>
  <si>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</si>
  <si>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</si>
  <si>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</si>
  <si>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</si>
  <si>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</si>
  <si>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</si>
  <si>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</si>
  <si>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</si>
  <si>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</si>
  <si>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</si>
  <si>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</si>
  <si>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</si>
  <si>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</si>
  <si>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</si>
  <si>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</si>
  <si>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</si>
  <si>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</si>
  <si>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</si>
  <si>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</si>
  <si>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</si>
  <si>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</si>
  <si>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</si>
  <si>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</si>
  <si>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</si>
  <si>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</si>
  <si>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</si>
  <si>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</si>
  <si>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</si>
  <si>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</si>
  <si>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</si>
  <si>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</si>
  <si>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</si>
  <si>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</si>
  <si>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</si>
  <si>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</si>
  <si>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</si>
  <si>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</si>
  <si>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</si>
  <si>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</si>
  <si>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</si>
  <si>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</si>
  <si>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</si>
  <si>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</si>
  <si>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</si>
  <si>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</si>
  <si>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</si>
  <si>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</si>
  <si>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</si>
  <si>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</si>
  <si>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</si>
  <si>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</si>
  <si>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</si>
  <si>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</si>
  <si>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</si>
  <si>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</si>
  <si>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</si>
  <si>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</si>
  <si>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</si>
  <si>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</si>
  <si>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</si>
  <si>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</si>
  <si>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</si>
  <si>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</si>
  <si>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</si>
  <si>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</si>
  <si>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</si>
  <si>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</si>
  <si>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</si>
  <si>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</si>
  <si>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</si>
  <si>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</si>
  <si>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</si>
  <si>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</si>
  <si>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</si>
  <si>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</si>
  <si>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</si>
  <si>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</si>
  <si>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</si>
  <si>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</si>
  <si>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</si>
  <si>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</si>
  <si>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</si>
  <si>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</si>
  <si>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</si>
  <si>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</si>
  <si>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</si>
  <si>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</si>
  <si>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</si>
  <si>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</si>
  <si>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</si>
  <si>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</si>
  <si>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</si>
  <si>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</si>
  <si>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</si>
  <si>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</si>
  <si>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</si>
  <si>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</si>
  <si>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</si>
  <si>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</si>
  <si>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接受其他省援助收入</t>
  </si>
  <si>
    <t xml:space="preserve">  援助其他省支出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</si>
  <si>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</si>
  <si>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</si>
  <si>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</si>
  <si>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</si>
  <si>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</si>
  <si>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</si>
  <si>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</si>
  <si>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</si>
  <si>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</si>
  <si>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</si>
  <si>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</si>
  <si>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</si>
  <si>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</si>
  <si>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</si>
  <si>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表4</t>
  </si>
  <si>
    <t>2019年度政府性基金预算收入执行情况表</t>
  </si>
  <si>
    <t>单位:万元</t>
  </si>
  <si>
    <t>科　目　名　称</t>
  </si>
  <si>
    <t>政府性基金预算收入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</si>
  <si>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</si>
  <si>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</si>
  <si>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</si>
  <si>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</si>
  <si>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</si>
  <si>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</si>
  <si>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</si>
  <si>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</si>
  <si>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</si>
  <si>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</si>
  <si>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</si>
  <si>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</si>
  <si>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</si>
  <si>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</si>
  <si>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</si>
  <si>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</si>
  <si>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</si>
  <si>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</si>
  <si>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</si>
  <si>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</si>
  <si>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</si>
  <si>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</si>
  <si>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</si>
  <si>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</si>
  <si>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</si>
  <si>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</si>
  <si>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</si>
  <si>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</si>
  <si>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</si>
  <si>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</si>
  <si>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</si>
  <si>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</si>
  <si>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</si>
  <si>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</si>
  <si>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</si>
  <si>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</si>
  <si>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</si>
  <si>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</si>
  <si>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</si>
  <si>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</si>
  <si>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</si>
  <si>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</si>
  <si>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</si>
  <si>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其他政府性基金收入</t>
  </si>
  <si>
    <t>表5</t>
  </si>
  <si>
    <t>2019年政府性基金预算支出执行情况表</t>
  </si>
  <si>
    <t>政府性基金预算支出</t>
  </si>
  <si>
    <t>科学技术支出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</si>
  <si>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</si>
  <si>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</si>
  <si>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</si>
  <si>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</si>
  <si>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</si>
  <si>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</si>
  <si>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</si>
  <si>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文化旅游体育与传媒支出</t>
  </si>
  <si>
    <t xml:space="preserve">  国家电影事业发展专项资金安排的支出</t>
  </si>
  <si>
    <t xml:space="preserve">    资助国产影片放映</t>
  </si>
  <si>
    <t xml:space="preserve">    资助影院建设</t>
  </si>
  <si>
    <t xml:space="preserve">    资助少数民族语电影译制</t>
  </si>
  <si>
    <t xml:space="preserve">    其他国家电影事业发展专项资金支出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</si>
  <si>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</si>
  <si>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</si>
  <si>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</si>
  <si>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</si>
  <si>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</si>
  <si>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</si>
  <si>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国家电影事业发展专项资金对应专项债务收入安排的支出</t>
  </si>
  <si>
    <t xml:space="preserve">    资助城市影院</t>
  </si>
  <si>
    <t xml:space="preserve">    其他国家电影事业发展专项资金对应专项债务收入支出</t>
  </si>
  <si>
    <t>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</si>
  <si>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</si>
  <si>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</si>
  <si>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</si>
  <si>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</si>
  <si>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小型水库移民扶助基金安排的支出</t>
  </si>
  <si>
    <t xml:space="preserve">    其他小型水库移民扶助基金支出</t>
  </si>
  <si>
    <t xml:space="preserve">  小型水库移民扶助基金对应专项债务收入安排的支出</t>
  </si>
  <si>
    <t xml:space="preserve">    其他小型水库移民扶助基金对应专项债务收入安排的支出</t>
  </si>
  <si>
    <t>节能环保支出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</si>
  <si>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</si>
  <si>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</si>
  <si>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</si>
  <si>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</si>
  <si>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</si>
  <si>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</si>
  <si>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</si>
  <si>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</si>
  <si>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</si>
  <si>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</si>
  <si>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>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</si>
  <si>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</si>
  <si>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</si>
  <si>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</si>
  <si>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</si>
  <si>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</si>
  <si>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</si>
  <si>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</si>
  <si>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</si>
  <si>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</si>
  <si>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</si>
  <si>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</si>
  <si>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</si>
  <si>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</si>
  <si>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</si>
  <si>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</si>
  <si>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</si>
  <si>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</si>
  <si>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</si>
  <si>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</si>
  <si>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</si>
  <si>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</si>
  <si>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</si>
  <si>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</si>
  <si>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</si>
  <si>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</si>
  <si>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</si>
  <si>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土地储备专项债券收入安排的支出  </t>
  </si>
  <si>
    <t xml:space="preserve">    征地和拆迁补偿支出  </t>
  </si>
  <si>
    <t xml:space="preserve">    土地开发支出  </t>
  </si>
  <si>
    <t xml:space="preserve">    其他土地储备专项债券收入安排的支出  </t>
  </si>
  <si>
    <t>农林水支出</t>
  </si>
  <si>
    <t xml:space="preserve">  大中型水库库区基金安排的支出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</si>
  <si>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</si>
  <si>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</si>
  <si>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</si>
  <si>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</si>
  <si>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</si>
  <si>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</si>
  <si>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国家重大水利工程建设基金安排的支出</t>
  </si>
  <si>
    <t xml:space="preserve">    南水北调工程建设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</si>
  <si>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</si>
  <si>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</si>
  <si>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</si>
  <si>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大中型水库库区基金对应专项债务收入安排的支出  </t>
  </si>
  <si>
    <t xml:space="preserve">    基础设施建设和经济发展  </t>
  </si>
  <si>
    <t xml:space="preserve">    其他大中型水库库区基金对应专项债务收入支出  </t>
  </si>
  <si>
    <t xml:space="preserve">  国家重大水利工程建设基金对应专项债务收入安排的支出  </t>
  </si>
  <si>
    <t xml:space="preserve">    南水北调工程建设  </t>
  </si>
  <si>
    <t xml:space="preserve">    三峡工程后续工作  </t>
  </si>
  <si>
    <t xml:space="preserve">    地方重大水利工程建设  </t>
  </si>
  <si>
    <t xml:space="preserve">    其他重大水利工程建设基金对应专项债务收入支出  </t>
  </si>
  <si>
    <t>其他支出</t>
  </si>
  <si>
    <t xml:space="preserve">  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</si>
  <si>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</si>
  <si>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</si>
  <si>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 xml:space="preserve">    其他政府性基金债务收入安排的支出  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</si>
  <si>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</si>
  <si>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</si>
  <si>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</si>
  <si>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</si>
  <si>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</si>
  <si>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</si>
  <si>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</si>
  <si>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</si>
  <si>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</si>
  <si>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</si>
  <si>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</si>
  <si>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</si>
  <si>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债务付息支出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</si>
  <si>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</si>
  <si>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</si>
  <si>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</si>
  <si>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</si>
  <si>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</si>
  <si>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</si>
  <si>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</si>
  <si>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</si>
  <si>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</si>
  <si>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</si>
  <si>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</si>
  <si>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</si>
  <si>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</si>
  <si>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</si>
  <si>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</si>
  <si>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棚户区改造专项债券付息支出</t>
  </si>
  <si>
    <t xml:space="preserve">    其他地方自行试点项目收益专项债券付息支出</t>
  </si>
  <si>
    <t xml:space="preserve">    其他政府性基金债务付息支出</t>
  </si>
  <si>
    <t>债务发行费用支出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</si>
  <si>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</si>
  <si>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</si>
  <si>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</si>
  <si>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</si>
  <si>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</si>
  <si>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</si>
  <si>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</si>
  <si>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</si>
  <si>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</si>
  <si>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</si>
  <si>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</si>
  <si>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</si>
  <si>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</si>
  <si>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</si>
  <si>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>表6</t>
  </si>
  <si>
    <t>2019年政府性基金预算收支执行情况平衡表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</si>
  <si>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</si>
  <si>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</si>
  <si>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</si>
  <si>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</si>
  <si>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</si>
  <si>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</si>
  <si>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</si>
  <si>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</si>
  <si>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</si>
  <si>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</si>
  <si>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</si>
  <si>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</si>
  <si>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</si>
  <si>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政府性基金预算年终结余</t>
  </si>
  <si>
    <t>收　　入　　总　　计　</t>
  </si>
  <si>
    <t>支　　出　　总　　计　</t>
  </si>
  <si>
    <t>表7</t>
  </si>
  <si>
    <t>2019年国有资本经营预算收支执行情况平衡表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</si>
  <si>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</si>
  <si>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</si>
  <si>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</si>
  <si>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</si>
  <si>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</si>
  <si>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</si>
  <si>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</si>
  <si>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</si>
  <si>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国有资本经营预算年终结余</t>
  </si>
  <si>
    <t>表8</t>
  </si>
  <si>
    <t>2019年社会保险基金预算收支执行情况平衡表</t>
  </si>
  <si>
    <t xml:space="preserve">       单位：万元</t>
  </si>
  <si>
    <t>项 　　 目</t>
  </si>
  <si>
    <t>年初预算数</t>
  </si>
  <si>
    <t>调整预算数</t>
  </si>
  <si>
    <t>一、期初余额</t>
  </si>
  <si>
    <t>二、收入</t>
  </si>
  <si>
    <t>1、个人缴费收入</t>
  </si>
  <si>
    <t>2、投资收益</t>
  </si>
  <si>
    <t>3、政府补贴收入</t>
  </si>
  <si>
    <t xml:space="preserve">  其中：政府对基础养老金补贴收入</t>
  </si>
  <si>
    <t xml:space="preserve">       政府对个人缴费的补贴收入</t>
  </si>
  <si>
    <t>4、其他收入</t>
  </si>
  <si>
    <t>5、转移收入</t>
  </si>
  <si>
    <t>三、支出</t>
  </si>
  <si>
    <t>1、基本养老待遇支出</t>
  </si>
  <si>
    <t>2、个人账户养老金支出</t>
  </si>
  <si>
    <t>3、丧葬抚恤补助支出</t>
  </si>
  <si>
    <t>4、其他支出</t>
  </si>
  <si>
    <t>5、转移支出</t>
  </si>
  <si>
    <t>四、当期收支结余</t>
  </si>
  <si>
    <t>五、期末滚存结余</t>
  </si>
  <si>
    <t>表9</t>
  </si>
  <si>
    <t>2020年地方一般公共预算收入预算表（草案）</t>
  </si>
  <si>
    <t>上年执行数</t>
  </si>
  <si>
    <t>预算数</t>
  </si>
  <si>
    <t>比执行数增长%</t>
  </si>
  <si>
    <t xml:space="preserve"> </t>
  </si>
  <si>
    <t>收入合计</t>
  </si>
  <si>
    <t>表10</t>
  </si>
  <si>
    <t>2020年一般公共预算支出表</t>
  </si>
  <si>
    <t>项　　　　　　目</t>
  </si>
  <si>
    <t>预　算　数</t>
  </si>
  <si>
    <t>备　　　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</si>
  <si>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</si>
  <si>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</si>
  <si>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</si>
  <si>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</si>
  <si>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</si>
  <si>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</si>
  <si>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</si>
  <si>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</si>
  <si>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</si>
  <si>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</si>
  <si>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</si>
  <si>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</si>
  <si>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</si>
  <si>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</si>
  <si>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</si>
  <si>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</si>
  <si>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</si>
  <si>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</si>
  <si>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</si>
  <si>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</si>
  <si>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</si>
  <si>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</si>
  <si>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</si>
  <si>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</si>
  <si>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</si>
  <si>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</si>
  <si>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</si>
  <si>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</si>
  <si>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</si>
  <si>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</si>
  <si>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</si>
  <si>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</si>
  <si>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</si>
  <si>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</si>
  <si>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</si>
  <si>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</si>
  <si>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</si>
  <si>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</si>
  <si>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</si>
  <si>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</si>
  <si>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</si>
  <si>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</si>
  <si>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</si>
  <si>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</si>
  <si>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</si>
  <si>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</si>
  <si>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</si>
  <si>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</si>
  <si>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</si>
  <si>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</si>
  <si>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</si>
  <si>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</si>
  <si>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</si>
  <si>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</si>
  <si>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</si>
  <si>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</si>
  <si>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</si>
  <si>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</si>
  <si>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</si>
  <si>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</si>
  <si>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</si>
  <si>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</si>
  <si>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</si>
  <si>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</si>
  <si>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</si>
  <si>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</si>
  <si>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</si>
  <si>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</si>
  <si>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</si>
  <si>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</si>
  <si>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</si>
  <si>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</si>
  <si>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</si>
  <si>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</si>
  <si>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</si>
  <si>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</si>
  <si>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</si>
  <si>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</si>
  <si>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</si>
  <si>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</si>
  <si>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</si>
  <si>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</si>
  <si>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</si>
  <si>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</si>
  <si>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</si>
  <si>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</si>
  <si>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</si>
  <si>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</si>
  <si>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</si>
  <si>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</si>
  <si>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</si>
  <si>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</si>
  <si>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</si>
  <si>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</si>
  <si>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</si>
  <si>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</si>
  <si>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</si>
  <si>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</si>
  <si>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</si>
  <si>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</si>
  <si>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</si>
  <si>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</si>
  <si>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</si>
  <si>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</si>
  <si>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</si>
  <si>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</si>
  <si>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</si>
  <si>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</si>
  <si>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</si>
  <si>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</si>
  <si>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</si>
  <si>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</si>
  <si>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</si>
  <si>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</si>
  <si>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</si>
  <si>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</si>
  <si>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</si>
  <si>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</si>
  <si>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</si>
  <si>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</si>
  <si>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</si>
  <si>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</si>
  <si>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</si>
  <si>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</si>
  <si>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</si>
  <si>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</si>
  <si>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</si>
  <si>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</si>
  <si>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</si>
  <si>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</si>
  <si>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</si>
  <si>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</si>
  <si>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</si>
  <si>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</si>
  <si>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</si>
  <si>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</si>
  <si>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</si>
  <si>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</si>
  <si>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</si>
  <si>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</si>
  <si>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</si>
  <si>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</si>
  <si>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</si>
  <si>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</si>
  <si>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</si>
  <si>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</si>
  <si>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</si>
  <si>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</si>
  <si>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</si>
  <si>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</si>
  <si>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</si>
  <si>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</si>
  <si>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</si>
  <si>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</si>
  <si>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</si>
  <si>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</si>
  <si>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</si>
  <si>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</si>
  <si>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</si>
  <si>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</si>
  <si>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</si>
  <si>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</si>
  <si>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</si>
  <si>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</si>
  <si>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</si>
  <si>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</si>
  <si>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</si>
  <si>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</si>
  <si>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</si>
  <si>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</si>
  <si>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</si>
  <si>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</si>
  <si>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</si>
  <si>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</si>
  <si>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</si>
  <si>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</si>
  <si>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</si>
  <si>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</si>
  <si>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</si>
  <si>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</si>
  <si>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</si>
  <si>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</si>
  <si>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</si>
  <si>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</si>
  <si>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</si>
  <si>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</si>
  <si>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</si>
  <si>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</si>
  <si>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</si>
  <si>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</si>
  <si>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</si>
  <si>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</si>
  <si>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</si>
  <si>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</si>
  <si>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</si>
  <si>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</si>
  <si>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</si>
  <si>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</si>
  <si>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</si>
  <si>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</si>
  <si>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</si>
  <si>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</si>
  <si>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</si>
  <si>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</si>
  <si>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</si>
  <si>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</si>
  <si>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</si>
  <si>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</si>
  <si>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</si>
  <si>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</si>
  <si>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</si>
  <si>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</si>
  <si>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</si>
  <si>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</si>
  <si>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</si>
  <si>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</si>
  <si>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</si>
  <si>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</si>
  <si>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</si>
  <si>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</si>
  <si>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</si>
  <si>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</si>
  <si>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</si>
  <si>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</si>
  <si>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</si>
  <si>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</si>
  <si>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</si>
  <si>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</si>
  <si>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</si>
  <si>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</si>
  <si>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</si>
  <si>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</si>
  <si>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</si>
  <si>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</si>
  <si>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</si>
  <si>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</si>
  <si>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</si>
  <si>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</si>
  <si>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</si>
  <si>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</si>
  <si>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</si>
  <si>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</si>
  <si>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</si>
  <si>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</si>
  <si>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</si>
  <si>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</si>
  <si>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</si>
  <si>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</si>
  <si>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</si>
  <si>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</si>
  <si>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</si>
  <si>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</si>
  <si>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</si>
  <si>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</si>
  <si>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</si>
  <si>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</si>
  <si>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</si>
  <si>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</si>
  <si>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</si>
  <si>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</si>
  <si>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</si>
  <si>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</si>
  <si>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</si>
  <si>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</si>
  <si>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</si>
  <si>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</si>
  <si>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</si>
  <si>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</si>
  <si>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</si>
  <si>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</si>
  <si>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</si>
  <si>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</si>
  <si>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</si>
  <si>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</si>
  <si>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</si>
  <si>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</si>
  <si>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</si>
  <si>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</si>
  <si>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</si>
  <si>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</si>
  <si>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</si>
  <si>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</si>
  <si>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</si>
  <si>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</si>
  <si>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</si>
  <si>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</si>
  <si>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</si>
  <si>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</si>
  <si>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</si>
  <si>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</si>
  <si>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</si>
  <si>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</si>
  <si>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</si>
  <si>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</si>
  <si>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</si>
  <si>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</si>
  <si>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</si>
  <si>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</si>
  <si>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</si>
  <si>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</si>
  <si>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</si>
  <si>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</si>
  <si>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</si>
  <si>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</si>
  <si>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</si>
  <si>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</si>
  <si>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</si>
  <si>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</si>
  <si>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</si>
  <si>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</si>
  <si>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</si>
  <si>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</si>
  <si>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</si>
  <si>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</si>
  <si>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</si>
  <si>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</si>
  <si>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</si>
  <si>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</si>
  <si>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</si>
  <si>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</si>
  <si>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</si>
  <si>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</si>
  <si>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</si>
  <si>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</si>
  <si>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</si>
  <si>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</si>
  <si>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</si>
  <si>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</si>
  <si>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</si>
  <si>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</si>
  <si>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</si>
  <si>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</si>
  <si>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</si>
  <si>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</si>
  <si>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</si>
  <si>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</si>
  <si>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</si>
  <si>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</si>
  <si>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</si>
  <si>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</si>
  <si>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</si>
  <si>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</si>
  <si>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</si>
  <si>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</si>
  <si>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</si>
  <si>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</si>
  <si>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</si>
  <si>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</si>
  <si>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</si>
  <si>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</si>
  <si>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</si>
  <si>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</si>
  <si>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</si>
  <si>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</si>
  <si>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</si>
  <si>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</si>
  <si>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</si>
  <si>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</si>
  <si>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</si>
  <si>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</si>
  <si>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</si>
  <si>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</si>
  <si>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</si>
  <si>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</si>
  <si>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</si>
  <si>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</si>
  <si>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</si>
  <si>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</si>
  <si>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</si>
  <si>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</si>
  <si>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</si>
  <si>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</si>
  <si>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</si>
  <si>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</si>
  <si>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</si>
  <si>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</si>
  <si>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</si>
  <si>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</si>
  <si>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</si>
  <si>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</si>
  <si>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</si>
  <si>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</si>
  <si>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</si>
  <si>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</si>
  <si>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</si>
  <si>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</si>
  <si>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</si>
  <si>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</si>
  <si>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</si>
  <si>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</si>
  <si>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</si>
  <si>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</si>
  <si>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</si>
  <si>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</si>
  <si>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</si>
  <si>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</si>
  <si>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</si>
  <si>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</si>
  <si>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</si>
  <si>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</si>
  <si>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</si>
  <si>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</si>
  <si>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</si>
  <si>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</si>
  <si>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</si>
  <si>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</si>
  <si>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</si>
  <si>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</si>
  <si>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</si>
  <si>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</si>
  <si>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</si>
  <si>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</si>
  <si>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</si>
  <si>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</si>
  <si>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</si>
  <si>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</si>
  <si>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</si>
  <si>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</si>
  <si>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</si>
  <si>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</si>
  <si>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</si>
  <si>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</si>
  <si>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</si>
  <si>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</si>
  <si>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</si>
  <si>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</si>
  <si>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</si>
  <si>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</si>
  <si>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</si>
  <si>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</si>
  <si>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</si>
  <si>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</si>
  <si>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</si>
  <si>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</si>
  <si>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</si>
  <si>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</si>
  <si>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</si>
  <si>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</si>
  <si>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</si>
  <si>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</si>
  <si>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</si>
  <si>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</si>
  <si>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</si>
  <si>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</si>
  <si>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</si>
  <si>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</si>
  <si>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</si>
  <si>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</si>
  <si>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</si>
  <si>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</si>
  <si>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</si>
  <si>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</si>
  <si>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</si>
  <si>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</si>
  <si>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</si>
  <si>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</si>
  <si>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</si>
  <si>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</si>
  <si>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</si>
  <si>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</si>
  <si>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</si>
  <si>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</si>
  <si>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</si>
  <si>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</si>
  <si>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</si>
  <si>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</si>
  <si>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</si>
  <si>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</si>
  <si>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</si>
  <si>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</si>
  <si>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</si>
  <si>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</si>
  <si>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</si>
  <si>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</si>
  <si>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</si>
  <si>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</si>
  <si>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</si>
  <si>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</si>
  <si>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</si>
  <si>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</si>
  <si>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</si>
  <si>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</si>
  <si>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</si>
  <si>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</si>
  <si>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</si>
  <si>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</si>
  <si>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</si>
  <si>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</si>
  <si>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</si>
  <si>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</si>
  <si>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</si>
  <si>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</si>
  <si>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</si>
  <si>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</si>
  <si>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</si>
  <si>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</si>
  <si>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</si>
  <si>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</si>
  <si>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</si>
  <si>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</si>
  <si>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</si>
  <si>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</si>
  <si>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</si>
  <si>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</si>
  <si>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</si>
  <si>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</si>
  <si>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</si>
  <si>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</si>
  <si>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</si>
  <si>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</si>
  <si>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</si>
  <si>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</si>
  <si>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</si>
  <si>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</si>
  <si>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</si>
  <si>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</si>
  <si>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</si>
  <si>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</si>
  <si>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</si>
  <si>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</si>
  <si>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</si>
  <si>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</si>
  <si>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</si>
  <si>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</si>
  <si>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</si>
  <si>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</si>
  <si>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</si>
  <si>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</si>
  <si>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</si>
  <si>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</si>
  <si>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</si>
  <si>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</si>
  <si>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</si>
  <si>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</si>
  <si>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</si>
  <si>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</si>
  <si>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</si>
  <si>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</si>
  <si>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</si>
  <si>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</si>
  <si>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</si>
  <si>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</si>
  <si>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</si>
  <si>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</si>
  <si>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</si>
  <si>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</si>
  <si>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</si>
  <si>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</si>
  <si>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</si>
  <si>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</si>
  <si>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</si>
  <si>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</si>
  <si>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</si>
  <si>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</si>
  <si>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</si>
  <si>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</si>
  <si>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</si>
  <si>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</si>
  <si>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</si>
  <si>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</si>
  <si>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</si>
  <si>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</si>
  <si>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</si>
  <si>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</si>
  <si>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</si>
  <si>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</si>
  <si>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</si>
  <si>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</si>
  <si>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</si>
  <si>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</si>
  <si>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</si>
  <si>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</si>
  <si>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</si>
  <si>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</si>
  <si>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</si>
  <si>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</si>
  <si>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</si>
  <si>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</si>
  <si>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</si>
  <si>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</si>
  <si>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</si>
  <si>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</si>
  <si>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</si>
  <si>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</si>
  <si>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</si>
  <si>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</si>
  <si>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</si>
  <si>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</si>
  <si>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</si>
  <si>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</si>
  <si>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</si>
  <si>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</si>
  <si>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</si>
  <si>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</si>
  <si>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</si>
  <si>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</si>
  <si>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</si>
  <si>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</si>
  <si>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</si>
  <si>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</si>
  <si>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</si>
  <si>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</si>
  <si>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</si>
  <si>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</si>
  <si>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</si>
  <si>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</si>
  <si>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</si>
  <si>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</si>
  <si>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</si>
  <si>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</si>
  <si>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</si>
  <si>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</si>
  <si>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</si>
  <si>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</si>
  <si>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</si>
  <si>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</si>
  <si>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</si>
  <si>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</si>
  <si>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</si>
  <si>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</si>
  <si>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</si>
  <si>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</si>
  <si>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</si>
  <si>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</si>
  <si>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</si>
  <si>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</si>
  <si>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</si>
  <si>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</si>
  <si>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</si>
  <si>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</si>
  <si>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</si>
  <si>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</si>
  <si>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</si>
  <si>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</si>
  <si>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</si>
  <si>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</si>
  <si>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</si>
  <si>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</si>
  <si>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</si>
  <si>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</si>
  <si>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</si>
  <si>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</si>
  <si>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</si>
  <si>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</si>
  <si>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</si>
  <si>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</si>
  <si>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</si>
  <si>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</si>
  <si>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</si>
  <si>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</si>
  <si>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</si>
  <si>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</si>
  <si>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</si>
  <si>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</si>
  <si>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</si>
  <si>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</si>
  <si>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</si>
  <si>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</si>
  <si>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</si>
  <si>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</si>
  <si>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</si>
  <si>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</si>
  <si>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</si>
  <si>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</si>
  <si>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</si>
  <si>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</si>
  <si>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</si>
  <si>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</si>
  <si>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</si>
  <si>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</si>
  <si>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</si>
  <si>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</si>
  <si>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</si>
  <si>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</si>
  <si>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</si>
  <si>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</si>
  <si>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</si>
  <si>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</si>
  <si>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</si>
  <si>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</si>
  <si>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</si>
  <si>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</si>
  <si>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</si>
  <si>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</si>
  <si>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</si>
  <si>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</si>
  <si>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</si>
  <si>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</si>
  <si>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</si>
  <si>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</si>
  <si>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</si>
  <si>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</si>
  <si>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</si>
  <si>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</si>
  <si>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</si>
  <si>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</si>
  <si>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</si>
  <si>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</si>
  <si>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</si>
  <si>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</si>
  <si>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</si>
  <si>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</si>
  <si>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</si>
  <si>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</si>
  <si>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</si>
  <si>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</si>
  <si>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</si>
  <si>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</si>
  <si>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</si>
  <si>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</si>
  <si>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</si>
  <si>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</si>
  <si>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</si>
  <si>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</si>
  <si>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</si>
  <si>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</si>
  <si>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</si>
  <si>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</si>
  <si>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</si>
  <si>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</si>
  <si>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</si>
  <si>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</si>
  <si>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</si>
  <si>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</si>
  <si>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</si>
  <si>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</si>
  <si>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</si>
  <si>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</si>
  <si>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</si>
  <si>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</si>
  <si>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</si>
  <si>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</si>
  <si>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</si>
  <si>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</si>
  <si>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</si>
  <si>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</si>
  <si>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</si>
  <si>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</si>
  <si>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</si>
  <si>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</si>
  <si>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</si>
  <si>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</si>
  <si>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</si>
  <si>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</si>
  <si>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</si>
  <si>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</si>
  <si>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</si>
  <si>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</si>
  <si>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</si>
  <si>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</si>
  <si>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</si>
  <si>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</si>
  <si>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</si>
  <si>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</si>
  <si>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</si>
  <si>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</si>
  <si>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</si>
  <si>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</si>
  <si>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</si>
  <si>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</si>
  <si>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</si>
  <si>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</si>
  <si>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</si>
  <si>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</si>
  <si>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</si>
  <si>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</si>
  <si>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</si>
  <si>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</si>
  <si>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</si>
  <si>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</si>
  <si>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</si>
  <si>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</si>
  <si>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</si>
  <si>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</si>
  <si>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</si>
  <si>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</si>
  <si>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</si>
  <si>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</si>
  <si>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</si>
  <si>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</si>
  <si>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</si>
  <si>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</si>
  <si>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</si>
  <si>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</si>
  <si>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</si>
  <si>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</si>
  <si>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</si>
  <si>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</si>
  <si>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</si>
  <si>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</si>
  <si>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</si>
  <si>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</si>
  <si>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</si>
  <si>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</si>
  <si>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</si>
  <si>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</si>
  <si>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</si>
  <si>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</si>
  <si>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</si>
  <si>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 xml:space="preserve">    文化体育与传媒</t>
  </si>
  <si>
    <t xml:space="preserve">    医疗卫生</t>
  </si>
  <si>
    <t xml:space="preserve">    农业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</si>
  <si>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</si>
  <si>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</si>
  <si>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</si>
  <si>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</si>
  <si>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</si>
  <si>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</si>
  <si>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</si>
  <si>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</si>
  <si>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</si>
  <si>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</si>
  <si>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</si>
  <si>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</si>
  <si>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</si>
  <si>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</si>
  <si>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</si>
  <si>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</si>
  <si>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</si>
  <si>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</si>
  <si>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</si>
  <si>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</si>
  <si>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</si>
  <si>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</si>
  <si>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</si>
  <si>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</si>
  <si>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</si>
  <si>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</si>
  <si>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</si>
  <si>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</si>
  <si>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</si>
  <si>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</si>
  <si>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</si>
  <si>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</si>
  <si>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</si>
  <si>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</si>
  <si>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</si>
  <si>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</si>
  <si>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</si>
  <si>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</si>
  <si>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</si>
  <si>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</si>
  <si>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</si>
  <si>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</si>
  <si>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</si>
  <si>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</si>
  <si>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</si>
  <si>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</si>
  <si>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</si>
  <si>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</si>
  <si>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</si>
  <si>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</si>
  <si>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</si>
  <si>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</si>
  <si>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</si>
  <si>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</si>
  <si>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</si>
  <si>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</si>
  <si>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</si>
  <si>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</si>
  <si>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</si>
  <si>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</si>
  <si>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</si>
  <si>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</si>
  <si>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</si>
  <si>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</si>
  <si>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</si>
  <si>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</si>
  <si>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</si>
  <si>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</si>
  <si>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</si>
  <si>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</si>
  <si>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</si>
  <si>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</si>
  <si>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</si>
  <si>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</si>
  <si>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</si>
  <si>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</si>
  <si>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</si>
  <si>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</si>
  <si>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</si>
  <si>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</si>
  <si>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</si>
  <si>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</si>
  <si>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</si>
  <si>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</si>
  <si>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</si>
  <si>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</si>
  <si>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</si>
  <si>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</si>
  <si>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</si>
  <si>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</si>
  <si>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</si>
  <si>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</si>
  <si>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</si>
  <si>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</si>
  <si>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</si>
  <si>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</si>
  <si>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</si>
  <si>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</si>
  <si>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</si>
  <si>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</si>
  <si>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</si>
  <si>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</si>
  <si>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</si>
  <si>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</si>
  <si>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</si>
  <si>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</si>
  <si>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</si>
  <si>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</si>
  <si>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</si>
  <si>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</si>
  <si>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</si>
  <si>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</si>
  <si>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</si>
  <si>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</si>
  <si>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</si>
  <si>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</si>
  <si>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</si>
  <si>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</si>
  <si>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</si>
  <si>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</si>
  <si>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</si>
  <si>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</si>
  <si>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</si>
  <si>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</si>
  <si>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</si>
  <si>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</si>
  <si>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</si>
  <si>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</si>
  <si>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</si>
  <si>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</si>
  <si>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</si>
  <si>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</si>
  <si>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</si>
  <si>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</si>
  <si>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</si>
  <si>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</si>
  <si>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</si>
  <si>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</si>
  <si>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</si>
  <si>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</si>
  <si>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</si>
  <si>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</si>
  <si>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</si>
  <si>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</si>
  <si>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</si>
  <si>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</si>
  <si>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</si>
  <si>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</si>
  <si>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</si>
  <si>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表11</t>
  </si>
  <si>
    <t>2020年一般公共预算收支预算平衡表（草案）</t>
  </si>
  <si>
    <t xml:space="preserve">                                 单位：万元</t>
  </si>
  <si>
    <t>收 　　　 入</t>
  </si>
  <si>
    <t>支 　　　  出</t>
  </si>
  <si>
    <t>地方一般公共预算收入合计</t>
  </si>
  <si>
    <t xml:space="preserve"> 返还性收入</t>
  </si>
  <si>
    <t xml:space="preserve">   所得税基数返还收入</t>
  </si>
  <si>
    <t xml:space="preserve">   成品油价格和税费改革税收返还收入</t>
  </si>
  <si>
    <t xml:space="preserve">    成品油价格和税费改革税收返还支出</t>
  </si>
  <si>
    <t xml:space="preserve">   增值税税收返还收入 </t>
  </si>
  <si>
    <t xml:space="preserve">   消费税税收返还收入 </t>
  </si>
  <si>
    <t xml:space="preserve">   增值税五五分享税收返还收入</t>
  </si>
  <si>
    <t xml:space="preserve">    增值税五五分享税收返还支出</t>
  </si>
  <si>
    <t xml:space="preserve">   其他税收返还收入</t>
  </si>
  <si>
    <t xml:space="preserve">    其他税收返还支出</t>
  </si>
  <si>
    <t xml:space="preserve"> 一般性转移支付收入</t>
  </si>
  <si>
    <t xml:space="preserve"> 一般性转移支付</t>
  </si>
  <si>
    <t xml:space="preserve">   体制补助收入</t>
  </si>
  <si>
    <t xml:space="preserve">   均衡性转移支付收入</t>
  </si>
  <si>
    <t xml:space="preserve">   县级基本财力保障机制奖补资金收入</t>
  </si>
  <si>
    <t xml:space="preserve">   结算补助收入</t>
  </si>
  <si>
    <t xml:space="preserve">   资源枯竭型城市转移支付补助收入</t>
  </si>
  <si>
    <t xml:space="preserve">   企业事业单位划转补助收入</t>
  </si>
  <si>
    <t xml:space="preserve">   产粮（油）大县奖励资金收入</t>
  </si>
  <si>
    <t xml:space="preserve">    产粮（油）大县奖励资金支出</t>
  </si>
  <si>
    <t xml:space="preserve">   重点生态功能区转移支付收入</t>
  </si>
  <si>
    <t xml:space="preserve">   固定数额补助收入</t>
  </si>
  <si>
    <t xml:space="preserve">   革命老区转移支付收入</t>
  </si>
  <si>
    <t xml:space="preserve">   贫困地区转移支付收入</t>
  </si>
  <si>
    <t xml:space="preserve">   成品油价格和税费改革转移支付补助收入</t>
  </si>
  <si>
    <t xml:space="preserve">    成品油价格和税费改革转移支付补助支出</t>
  </si>
  <si>
    <t xml:space="preserve">   一般公共服务共同财政事权转移支付收入</t>
  </si>
  <si>
    <t xml:space="preserve">    一般公共服务共同财政事权转移支付支出</t>
  </si>
  <si>
    <t xml:space="preserve">   外交共同财政事权转移支付收入</t>
  </si>
  <si>
    <t xml:space="preserve">    外交共同财政事权转移支付支出</t>
  </si>
  <si>
    <t xml:space="preserve">   国防共同财政事权转移支付收入</t>
  </si>
  <si>
    <t xml:space="preserve">    国防共同财政事权转移支付支出</t>
  </si>
  <si>
    <t xml:space="preserve">   公共安全共同财政事权转移支付收入</t>
  </si>
  <si>
    <t xml:space="preserve">    公共安全共同财政事权转移支付支出</t>
  </si>
  <si>
    <t xml:space="preserve">   教育共同财政事权转移支付收入</t>
  </si>
  <si>
    <t xml:space="preserve">    教育共同财政事权转移支付支出</t>
  </si>
  <si>
    <t xml:space="preserve">   科学技术共同财政事权转移支付收入</t>
  </si>
  <si>
    <t xml:space="preserve">    科学技术共同财政事权转移支付支出</t>
  </si>
  <si>
    <t xml:space="preserve">   文化旅游体育与传媒共同财政事权转移支付收入</t>
  </si>
  <si>
    <t xml:space="preserve">    文化旅游体育与传媒共同财政事权转移
    支付支出</t>
  </si>
  <si>
    <t xml:space="preserve">   社会保障和就业共同财政事权转移支付收入</t>
  </si>
  <si>
    <t xml:space="preserve">    社会保障和就业共同财政事权转移支付支出</t>
  </si>
  <si>
    <t xml:space="preserve">   医疗卫生共同财政事权转移支付收入</t>
  </si>
  <si>
    <t xml:space="preserve">    医疗卫生共同财政事权转移支付支出</t>
  </si>
  <si>
    <t xml:space="preserve">   节能环保共同财政事权转移支付收入</t>
  </si>
  <si>
    <t xml:space="preserve">   城乡社区共同财政事权转移支付收入</t>
  </si>
  <si>
    <t xml:space="preserve">   农林水共同财政事权转移支付收入</t>
  </si>
  <si>
    <t xml:space="preserve">   农林水共同财政事权转移支付支出</t>
  </si>
  <si>
    <t xml:space="preserve">   交通运输共同财政事权转移支付收入</t>
  </si>
  <si>
    <t xml:space="preserve">   交通运输共同财政事权转移支付支出</t>
  </si>
  <si>
    <t xml:space="preserve">   资源勘探信息等共同财政事权转移支付收入</t>
  </si>
  <si>
    <t xml:space="preserve">    资源勘探信息等共同财政事权转移支付支出</t>
  </si>
  <si>
    <t xml:space="preserve">   商业服务业等共同财政事权转移支付收入</t>
  </si>
  <si>
    <t xml:space="preserve">   金融共同财政事权转移支付收入</t>
  </si>
  <si>
    <t xml:space="preserve">   金融共同财政事权转移支付支出</t>
  </si>
  <si>
    <t xml:space="preserve">   自然资源海洋气象等共同财政事权转移支
   付收入</t>
  </si>
  <si>
    <t xml:space="preserve">    自然资源海洋气象等共同财政事权转移
    支付支出</t>
  </si>
  <si>
    <t xml:space="preserve">   住房保障共同财政事权转移支付收入</t>
  </si>
  <si>
    <t xml:space="preserve">   粮油物资储备共同财政事权转移支付收入</t>
  </si>
  <si>
    <t xml:space="preserve">   灾害防治及应急管理共同财政事权转移支付收入</t>
  </si>
  <si>
    <t xml:space="preserve">    灾害防治及应急管理共同财政事权转移
    支付收入</t>
  </si>
  <si>
    <t xml:space="preserve">   其他共同财政事权转移支付收入</t>
  </si>
  <si>
    <t xml:space="preserve">    其他共同财政事权转移支付支出</t>
  </si>
  <si>
    <t xml:space="preserve">   其他一般性转移支付收入</t>
  </si>
  <si>
    <t xml:space="preserve"> 专项转移支付收入</t>
  </si>
  <si>
    <t xml:space="preserve"> 专项转移支付支出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</si>
  <si>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</si>
  <si>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</si>
  <si>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</si>
  <si>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</si>
  <si>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调入资金</t>
  </si>
  <si>
    <t xml:space="preserve">    从政府性基金调入</t>
  </si>
  <si>
    <t xml:space="preserve">    从国有资本经营调入</t>
  </si>
  <si>
    <t xml:space="preserve">    从其他资金调入</t>
  </si>
  <si>
    <t>地方政府一般债券还本支出</t>
  </si>
  <si>
    <t>上年结余收入</t>
  </si>
  <si>
    <t>地方政府一般债券转贷收入</t>
  </si>
  <si>
    <t>地方政府一般债券转贷支出</t>
  </si>
  <si>
    <t>收　入　总　计</t>
  </si>
  <si>
    <t>支　出　总　计</t>
  </si>
  <si>
    <t>表11.1</t>
  </si>
  <si>
    <t>2020年通江县县级一般公共预算基本支出经济分类科目支出预算表</t>
  </si>
  <si>
    <t>预算科目</t>
  </si>
  <si>
    <t>备注</t>
  </si>
  <si>
    <t>总计</t>
  </si>
  <si>
    <t>一、机关工资福利支出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</si>
  <si>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</si>
  <si>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</si>
  <si>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</si>
  <si>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</si>
  <si>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</si>
  <si>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</si>
  <si>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</si>
  <si>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</si>
  <si>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</t>
  </si>
  <si>
    <t xml:space="preserve">    委托业务费</t>
  </si>
  <si>
    <t xml:space="preserve">    公务接待费</t>
  </si>
  <si>
    <t xml:space="preserve">    国公出国（境）费用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</si>
  <si>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</si>
  <si>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</si>
  <si>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</si>
  <si>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</si>
  <si>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</si>
  <si>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</si>
  <si>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</si>
  <si>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设备购置</t>
  </si>
  <si>
    <t xml:space="preserve">    大型维修</t>
  </si>
  <si>
    <t xml:space="preserve">    其他资本性支出</t>
  </si>
  <si>
    <t>四、对事业单位经常性补助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</si>
  <si>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</si>
  <si>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</si>
  <si>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</si>
  <si>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五、对事业单位资本性补助</t>
  </si>
  <si>
    <t xml:space="preserve">    资本性支出（一）</t>
  </si>
  <si>
    <t xml:space="preserve">    资本性支出（二）</t>
  </si>
  <si>
    <t>六、对个人和家庭的补助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</si>
  <si>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</si>
  <si>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</si>
  <si>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</si>
  <si>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</si>
  <si>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</si>
  <si>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表12</t>
  </si>
  <si>
    <t>2020年政府性基金收入预算表（草案）</t>
  </si>
  <si>
    <t xml:space="preserve">      单位：万元</t>
  </si>
  <si>
    <t>预　算　科　目</t>
  </si>
  <si>
    <t>一、农网还贷资金收入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</si>
  <si>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</si>
  <si>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</si>
  <si>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</si>
  <si>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</si>
  <si>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>六、大中型水库移民后期扶持基金收入</t>
  </si>
  <si>
    <t>七、大中型水库库区基金收入</t>
  </si>
  <si>
    <t>八、彩票公益金收入</t>
  </si>
  <si>
    <t>九、城市基础设施配套费收入</t>
  </si>
  <si>
    <t>十、国家重大水利工程建设基金收入</t>
  </si>
  <si>
    <t>十一、污水处理费收入</t>
  </si>
  <si>
    <t>十二、其他政府性基金收入</t>
  </si>
  <si>
    <t>十三、专项债券对应项目专项收入</t>
  </si>
  <si>
    <t>表13</t>
  </si>
  <si>
    <t>2020年政府性基金预算支出预算表（草案）</t>
  </si>
  <si>
    <t xml:space="preserve">  单位：万元</t>
  </si>
  <si>
    <t>一、文化旅游体育与传媒支出</t>
  </si>
  <si>
    <t>二、社会保障和就业支出</t>
  </si>
  <si>
    <t xml:space="preserve">      移民补助</t>
  </si>
  <si>
    <t xml:space="preserve">      基础设施建设和经济发展</t>
  </si>
  <si>
    <t>三、节能环保支出</t>
  </si>
  <si>
    <t>四、城乡社区支出</t>
  </si>
  <si>
    <t xml:space="preserve">  国有土地收益基金安排的支出</t>
  </si>
  <si>
    <t xml:space="preserve">      城市公共设施</t>
  </si>
  <si>
    <t xml:space="preserve">      城市环境卫生</t>
  </si>
  <si>
    <t xml:space="preserve">      其他城市基础设施配套费安排的支出</t>
  </si>
  <si>
    <t xml:space="preserve">      污水处理设施建设和运营</t>
  </si>
  <si>
    <t xml:space="preserve">  土地储备专项债券收入安排的支出</t>
  </si>
  <si>
    <t xml:space="preserve">  棚户区改造专项债券收入安排的支出</t>
  </si>
  <si>
    <t>五、农林水支出</t>
  </si>
  <si>
    <t>六、交通运输支出</t>
  </si>
  <si>
    <t xml:space="preserve">  民航发展基金支出</t>
  </si>
  <si>
    <t xml:space="preserve">  政府收费公路专项债券收入安排的支出</t>
  </si>
  <si>
    <t>七、资源勘探信息等支出</t>
  </si>
  <si>
    <t>八、金融支出</t>
  </si>
  <si>
    <t>九、其他支出</t>
  </si>
  <si>
    <t xml:space="preserve">  其他政府性基金及对应专项债务收入安排支出</t>
  </si>
  <si>
    <t xml:space="preserve">      用于残疾人事业的彩票公益金支出</t>
  </si>
  <si>
    <t xml:space="preserve">      用于城乡医疗救助的彩票公益金支出</t>
  </si>
  <si>
    <t xml:space="preserve">      用于扶贫的彩票公益金支出</t>
  </si>
  <si>
    <t>十、债务付息支出</t>
  </si>
  <si>
    <t xml:space="preserve">      国有土地使用权出让金债务付息支出</t>
  </si>
  <si>
    <t xml:space="preserve">      土地储备专项债券付息支出</t>
  </si>
  <si>
    <t>十一、债务发行费用支出</t>
  </si>
  <si>
    <t>支　出　合　计</t>
  </si>
  <si>
    <t>表14</t>
  </si>
  <si>
    <t>2020年政府性基金预算收支平衡表</t>
  </si>
  <si>
    <t>收　　　 入</t>
  </si>
  <si>
    <t>支 　　　出</t>
  </si>
  <si>
    <t>政府性基金收入</t>
  </si>
  <si>
    <t>政府性基金支出</t>
  </si>
  <si>
    <t>转移性收入</t>
  </si>
  <si>
    <t>转移性支出</t>
  </si>
  <si>
    <t xml:space="preserve">  上级补助收入</t>
  </si>
  <si>
    <t xml:space="preserve">  补助下级支出</t>
  </si>
  <si>
    <t xml:space="preserve">     大中型水库移民后期扶持资金</t>
  </si>
  <si>
    <t xml:space="preserve">  上解上级支出</t>
  </si>
  <si>
    <t xml:space="preserve">     残疾人事业发展补助资金</t>
  </si>
  <si>
    <t xml:space="preserve">  调出资金</t>
  </si>
  <si>
    <t xml:space="preserve">     医疗救助（彩票公益金）</t>
  </si>
  <si>
    <t xml:space="preserve">  债务转贷支出</t>
  </si>
  <si>
    <t xml:space="preserve">     中央专项彩票公益金支持革命老区脱贫攻坚资金</t>
  </si>
  <si>
    <t xml:space="preserve">     地方政府专项债务转贷支出</t>
  </si>
  <si>
    <t xml:space="preserve">  下级上解收入</t>
  </si>
  <si>
    <t xml:space="preserve">  年终结余</t>
  </si>
  <si>
    <t xml:space="preserve">  调入资金</t>
  </si>
  <si>
    <t>地方政府债务还本支出</t>
  </si>
  <si>
    <t xml:space="preserve">  债务转贷收入</t>
  </si>
  <si>
    <t xml:space="preserve">  专项债务还本支出</t>
  </si>
  <si>
    <t xml:space="preserve">     地方政府专项债务转贷收入</t>
  </si>
  <si>
    <t xml:space="preserve">  上年结余收入</t>
  </si>
  <si>
    <t>收入总计</t>
  </si>
  <si>
    <t>支出总计</t>
  </si>
  <si>
    <t>表15</t>
  </si>
  <si>
    <t>2020年国有资本经营收入预算表（草案）</t>
  </si>
  <si>
    <t>预　　算　　科　　目</t>
  </si>
  <si>
    <t>一、国有资本经营预算收入</t>
  </si>
  <si>
    <t>（一）利润收入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</si>
  <si>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</si>
  <si>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</si>
  <si>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</si>
  <si>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</si>
  <si>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</si>
  <si>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</si>
  <si>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</si>
  <si>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</si>
  <si>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</si>
  <si>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</si>
  <si>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</si>
  <si>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</si>
  <si>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</si>
  <si>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</si>
  <si>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</si>
  <si>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</t>
    </r>
    <r>
      <rPr>
        <sz val="11"/>
        <rFont val="宋体"/>
        <charset val="134"/>
        <scheme val="minor"/>
      </rPr>
      <t>金融企业利润收入（国资预算）</t>
    </r>
  </si>
  <si>
    <t xml:space="preserve">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</si>
  <si>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</si>
  <si>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</si>
  <si>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</si>
  <si>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</si>
  <si>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</si>
  <si>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</si>
  <si>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</si>
  <si>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</si>
  <si>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</si>
  <si>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</si>
  <si>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</si>
  <si>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</si>
  <si>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>（五）其他收入</t>
  </si>
  <si>
    <t xml:space="preserve">    其他国有资本经营预算收入</t>
  </si>
  <si>
    <t>二、转移性收入</t>
  </si>
  <si>
    <t>国有资本经营预算转移性收入</t>
  </si>
  <si>
    <t>三、上年结转收入</t>
  </si>
  <si>
    <t>收 入 合 计</t>
  </si>
  <si>
    <t>表16</t>
  </si>
  <si>
    <t>2020年国有资本经营支出预算表（草案）</t>
  </si>
  <si>
    <t xml:space="preserve">    单位：万元</t>
  </si>
  <si>
    <t>一、国有资本经营预算支出</t>
  </si>
  <si>
    <t xml:space="preserve">    （一）解决历史遗留问题及改革成本支出</t>
  </si>
  <si>
    <r>
      <rPr>
        <sz val="11"/>
        <rFont val="宋体"/>
        <charset val="134"/>
        <scheme val="minor"/>
      </rPr>
      <t xml:space="preserve">          </t>
    </r>
    <r>
      <rPr>
        <sz val="11"/>
        <color indexed="8"/>
        <rFont val="宋体"/>
        <charset val="134"/>
        <scheme val="minor"/>
      </rPr>
      <t>其中：“三供一业”移交补助支出</t>
    </r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</si>
  <si>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国有企业办职教幼教补助支出</t>
    </r>
  </si>
  <si>
    <r>
      <rPr>
        <sz val="11"/>
        <rFont val="宋体"/>
        <charset val="134"/>
        <scheme val="minor"/>
      </rPr>
      <t xml:space="preserve">              </t>
    </r>
    <r>
      <rPr>
        <sz val="11"/>
        <color indexed="8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国有企业退休人员社会化管理补助支出</t>
    </r>
  </si>
  <si>
    <t xml:space="preserve">                国有企业棚户区改造支出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</si>
  <si>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国有企业改革成本支出</t>
    </r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</si>
  <si>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其他解决历史遗留问题及改革成本支出</t>
    </r>
  </si>
  <si>
    <t xml:space="preserve">    （二）国有企业资本金注入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</si>
  <si>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其中：国有经济结构调整支出</t>
    </r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</si>
  <si>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公益性设施投资支出</t>
    </r>
  </si>
  <si>
    <r>
      <rPr>
        <sz val="11"/>
        <rFont val="宋体"/>
        <charset val="134"/>
        <scheme val="minor"/>
      </rPr>
      <t xml:space="preserve">              </t>
    </r>
    <r>
      <rPr>
        <sz val="11"/>
        <color indexed="8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前瞻性战略性产业发展支出</t>
    </r>
  </si>
  <si>
    <r>
      <rPr>
        <sz val="11"/>
        <rFont val="宋体"/>
        <charset val="134"/>
        <scheme val="minor"/>
      </rPr>
      <t xml:space="preserve">              </t>
    </r>
    <r>
      <rPr>
        <sz val="11"/>
        <color indexed="8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生态环境保护支出</t>
    </r>
  </si>
  <si>
    <r>
      <rPr>
        <sz val="11"/>
        <rFont val="宋体"/>
        <charset val="134"/>
        <scheme val="minor"/>
      </rPr>
      <t xml:space="preserve">              </t>
    </r>
    <r>
      <rPr>
        <sz val="11"/>
        <color indexed="8"/>
        <rFont val="宋体"/>
        <charset val="134"/>
        <scheme val="minor"/>
      </rPr>
      <t xml:space="preserve">  </t>
    </r>
    <r>
      <rPr>
        <sz val="11"/>
        <rFont val="宋体"/>
        <charset val="134"/>
        <scheme val="minor"/>
      </rPr>
      <t>支持科技进步支出</t>
    </r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</si>
  <si>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对外投资合作支出</t>
    </r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</si>
  <si>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其他国有企业资本金注入</t>
    </r>
  </si>
  <si>
    <t xml:space="preserve">    （三）国有企业政策性补贴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</si>
  <si>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其中：国有企业政策性补贴</t>
    </r>
  </si>
  <si>
    <t xml:space="preserve">    （四）金融国有资本经营预算支出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</si>
  <si>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其中：其他金融国有资本经营预算支出</t>
    </r>
  </si>
  <si>
    <t xml:space="preserve">    （五）其他国有资本经营预算支出</t>
  </si>
  <si>
    <r>
      <rPr>
        <sz val="11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其中：其他国有资本经营预算支出</t>
    </r>
  </si>
  <si>
    <t>二、转移性支出</t>
  </si>
  <si>
    <t xml:space="preserve">   （一）补助下级支出</t>
  </si>
  <si>
    <t xml:space="preserve">   （二）调出资金</t>
  </si>
  <si>
    <t xml:space="preserve">          其中：国有资本经营预算调出资金</t>
  </si>
  <si>
    <t>全市国有资本经营预算支出合计</t>
  </si>
  <si>
    <t>表17</t>
  </si>
  <si>
    <t>2020年社会保险基金收支预算表（草案）</t>
  </si>
  <si>
    <t>预  算  科  目</t>
  </si>
  <si>
    <t>一、企业职工基本养老保险基金收入</t>
  </si>
  <si>
    <t>二、失业保险基金收入</t>
  </si>
  <si>
    <t xml:space="preserve">  失业保险费收入</t>
  </si>
  <si>
    <t xml:space="preserve">  失业保险金</t>
  </si>
  <si>
    <t xml:space="preserve">  失业保险基金财政补贴收入</t>
  </si>
  <si>
    <t xml:space="preserve">  医疗保险费</t>
  </si>
  <si>
    <t xml:space="preserve">  失业保险基金利息收入</t>
  </si>
  <si>
    <t xml:space="preserve">  丧葬抚恤补助</t>
  </si>
  <si>
    <t xml:space="preserve">  其他失业保险基金收入</t>
  </si>
  <si>
    <t xml:space="preserve">  职业培训和职业介绍补贴</t>
  </si>
  <si>
    <t xml:space="preserve">  技能提升补贴支出</t>
  </si>
  <si>
    <t xml:space="preserve">  稳定岗位补贴支出</t>
  </si>
  <si>
    <t xml:space="preserve">  其他费用支出</t>
  </si>
  <si>
    <t xml:space="preserve">  其他失业保险基金支出</t>
  </si>
  <si>
    <t>三、职工基本医疗保险基金收入</t>
  </si>
  <si>
    <t>三、职工基本医疗保险基金支出</t>
  </si>
  <si>
    <t xml:space="preserve">  职工基本医疗保险费收入</t>
  </si>
  <si>
    <t xml:space="preserve">  职工基本医疗保险统筹基金</t>
  </si>
  <si>
    <t xml:space="preserve">  职工基本医疗保险基金财政补贴收入</t>
  </si>
  <si>
    <t xml:space="preserve">  职工医疗保险个人账户基金</t>
  </si>
  <si>
    <t xml:space="preserve">  职工基本医疗保险基金利息收入</t>
  </si>
  <si>
    <t xml:space="preserve">  其他职工基本医疗保险基金支出</t>
  </si>
  <si>
    <t xml:space="preserve">  其他职工基本医疗保险基金收入</t>
  </si>
  <si>
    <t>四、工伤保险基金收入</t>
  </si>
  <si>
    <t>四、工伤保险基金支出</t>
  </si>
  <si>
    <t xml:space="preserve">  工伤保险费收入</t>
  </si>
  <si>
    <t xml:space="preserve">  工伤保险待遇</t>
  </si>
  <si>
    <t xml:space="preserve">  工伤保险基金财政补贴收入</t>
  </si>
  <si>
    <t xml:space="preserve">  劳动能力鉴定支出</t>
  </si>
  <si>
    <t xml:space="preserve">  工伤保险基金利息收入</t>
  </si>
  <si>
    <t xml:space="preserve">  工伤预防费用支出</t>
  </si>
  <si>
    <t xml:space="preserve">  其他工伤保险基金收入</t>
  </si>
  <si>
    <t xml:space="preserve">  其他工伤保险基金支出</t>
  </si>
  <si>
    <t>五、城乡居民基本养老保险基金收入</t>
  </si>
  <si>
    <t>五、城乡居民基本养老保险基金支出</t>
  </si>
  <si>
    <t xml:space="preserve">  城乡居民基本养老保险基金缴费收入</t>
  </si>
  <si>
    <t xml:space="preserve">  基础养老金支出</t>
  </si>
  <si>
    <t xml:space="preserve">  城乡居民基本养老保险基金财政补贴收入</t>
  </si>
  <si>
    <t xml:space="preserve">  个人账户养老金支出</t>
  </si>
  <si>
    <t xml:space="preserve">  城乡居民基本养老保险基金利息收入</t>
  </si>
  <si>
    <t xml:space="preserve">  丧葬抚恤补助支出</t>
  </si>
  <si>
    <t xml:space="preserve">  其他城乡居民基本养老保险基金收入</t>
  </si>
  <si>
    <t xml:space="preserve">  其他城乡居民基本养老保险基金支出</t>
  </si>
  <si>
    <t>六、机关事业单位基本养老保险基金收入</t>
  </si>
  <si>
    <t>六、机关事业养老保险基金支出</t>
  </si>
  <si>
    <t>七、城乡居民基本医疗保险基金收入</t>
  </si>
  <si>
    <t>七、城乡居民基本医疗保险金支出</t>
  </si>
  <si>
    <t xml:space="preserve">  城乡居民基本医疗保险基金费收入</t>
  </si>
  <si>
    <t xml:space="preserve">   城乡居民基本医疗保险基金医疗待遇支出</t>
  </si>
  <si>
    <t xml:space="preserve">  城乡居民基本医疗保险基金财政补贴收入</t>
  </si>
  <si>
    <t xml:space="preserve">  城乡居民大病保险支出</t>
  </si>
  <si>
    <t xml:space="preserve">  城乡居民基本医疗保险基金利息收入</t>
  </si>
  <si>
    <t xml:space="preserve">  其他城乡居民基本医疗保险基金支出</t>
  </si>
  <si>
    <t xml:space="preserve">  其他城乡居民基本医疗保险基金收入</t>
  </si>
  <si>
    <t>八、其他社会保险基金收入</t>
  </si>
  <si>
    <t>八、其他社会保险基金支出</t>
  </si>
  <si>
    <t>社会保险基金收入合计</t>
  </si>
  <si>
    <t>社会保险基金支出合计</t>
  </si>
  <si>
    <t xml:space="preserve">   上年结余</t>
  </si>
  <si>
    <t xml:space="preserve">   年终结余</t>
  </si>
  <si>
    <t xml:space="preserve">   社会保险基金上解下拨收入</t>
  </si>
  <si>
    <t xml:space="preserve">   社会保险基金上解下拨支出</t>
  </si>
  <si>
    <t>社会保险基金收入总计</t>
  </si>
  <si>
    <t>社会保险基金支出总计</t>
  </si>
</sst>
</file>

<file path=xl/styles.xml><?xml version="1.0" encoding="utf-8"?>
<styleSheet xmlns="http://schemas.openxmlformats.org/spreadsheetml/2006/main">
  <numFmts count="10">
    <numFmt numFmtId="176" formatCode="#,##0_ "/>
    <numFmt numFmtId="177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_ * #,##0_ ;_ * \-#,##0_ ;_ * &quot;-&quot;??_ ;_ @_ "/>
    <numFmt numFmtId="180" formatCode="0.00_ "/>
    <numFmt numFmtId="181" formatCode="____@"/>
  </numFmts>
  <fonts count="6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11"/>
      <name val="宋体"/>
      <charset val="134"/>
      <scheme val="minor"/>
    </font>
    <font>
      <sz val="12"/>
      <color indexed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sz val="11"/>
      <color indexed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color indexed="0"/>
      <name val="宋体"/>
      <charset val="134"/>
    </font>
    <font>
      <sz val="11"/>
      <color indexed="0"/>
      <name val="宋体"/>
      <charset val="134"/>
    </font>
    <font>
      <b/>
      <sz val="11"/>
      <color indexed="8"/>
      <name val="黑体"/>
      <charset val="134"/>
    </font>
    <font>
      <b/>
      <sz val="11"/>
      <name val="宋体"/>
      <charset val="134"/>
    </font>
    <font>
      <sz val="10"/>
      <color indexed="0"/>
      <name val="宋体"/>
      <charset val="134"/>
    </font>
    <font>
      <b/>
      <sz val="11"/>
      <color indexed="0"/>
      <name val="宋体"/>
      <charset val="134"/>
    </font>
    <font>
      <b/>
      <sz val="10"/>
      <color indexed="0"/>
      <name val="宋体"/>
      <charset val="134"/>
    </font>
    <font>
      <sz val="11"/>
      <name val="方正仿宋_GBK"/>
      <charset val="134"/>
    </font>
    <font>
      <sz val="11"/>
      <color indexed="10"/>
      <name val="宋体"/>
      <charset val="134"/>
      <scheme val="minor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黑体"/>
      <charset val="134"/>
    </font>
    <font>
      <sz val="12"/>
      <color indexed="8"/>
      <name val="宋体"/>
      <charset val="134"/>
    </font>
    <font>
      <b/>
      <sz val="16"/>
      <color indexed="8"/>
      <name val="黑体"/>
      <charset val="134"/>
    </font>
    <font>
      <sz val="11"/>
      <color indexed="8"/>
      <name val="宋体"/>
      <charset val="134"/>
    </font>
    <font>
      <b/>
      <sz val="11"/>
      <name val="方正仿宋_GBK"/>
      <charset val="134"/>
    </font>
    <font>
      <sz val="11"/>
      <name val="Times New Roman"/>
      <charset val="134"/>
    </font>
    <font>
      <sz val="11"/>
      <color indexed="0"/>
      <name val="方正仿宋_GBK"/>
      <charset val="134"/>
    </font>
    <font>
      <sz val="11"/>
      <color indexed="10"/>
      <name val="宋体"/>
      <charset val="134"/>
    </font>
    <font>
      <sz val="16"/>
      <color indexed="8"/>
      <name val="黑体"/>
      <charset val="134"/>
    </font>
    <font>
      <b/>
      <sz val="11"/>
      <color indexed="8"/>
      <name val="宋体"/>
      <charset val="134"/>
    </font>
    <font>
      <sz val="12"/>
      <color indexed="0"/>
      <name val="黑体"/>
      <charset val="134"/>
    </font>
    <font>
      <b/>
      <sz val="11"/>
      <color indexed="0"/>
      <name val="宋体"/>
      <charset val="134"/>
      <scheme val="minor"/>
    </font>
    <font>
      <b/>
      <sz val="11"/>
      <color indexed="0"/>
      <name val="方正仿宋_GBK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2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0" borderId="17" applyNumberFormat="0" applyAlignment="0" applyProtection="0">
      <alignment vertical="center"/>
    </xf>
    <xf numFmtId="0" fontId="1" fillId="0" borderId="0"/>
    <xf numFmtId="0" fontId="4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" fillId="0" borderId="0" applyAlignment="0"/>
    <xf numFmtId="0" fontId="50" fillId="2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3" fillId="7" borderId="20" applyNumberFormat="0" applyAlignment="0" applyProtection="0">
      <alignment vertical="center"/>
    </xf>
    <xf numFmtId="0" fontId="40" fillId="7" borderId="17" applyNumberFormat="0" applyAlignment="0" applyProtection="0">
      <alignment vertical="center"/>
    </xf>
    <xf numFmtId="0" fontId="51" fillId="15" borderId="21" applyNumberFormat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5" fillId="0" borderId="24" applyNumberFormat="0" applyFill="0" applyAlignment="0" applyProtection="0">
      <alignment vertical="center"/>
    </xf>
    <xf numFmtId="0" fontId="1" fillId="0" borderId="0"/>
    <xf numFmtId="0" fontId="46" fillId="9" borderId="0" applyNumberFormat="0" applyBorder="0" applyAlignment="0" applyProtection="0">
      <alignment vertical="center"/>
    </xf>
    <xf numFmtId="0" fontId="1" fillId="0" borderId="0"/>
    <xf numFmtId="0" fontId="57" fillId="31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1" fillId="0" borderId="0"/>
    <xf numFmtId="0" fontId="49" fillId="3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0" borderId="0"/>
    <xf numFmtId="0" fontId="49" fillId="27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8" fillId="0" borderId="0"/>
    <xf numFmtId="0" fontId="1" fillId="0" borderId="0"/>
    <xf numFmtId="0" fontId="58" fillId="0" borderId="0">
      <alignment vertical="center"/>
    </xf>
    <xf numFmtId="0" fontId="5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9" fillId="0" borderId="0"/>
    <xf numFmtId="0" fontId="1" fillId="0" borderId="0">
      <alignment vertical="center"/>
    </xf>
    <xf numFmtId="43" fontId="27" fillId="0" borderId="0" applyFon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1" fillId="0" borderId="0" xfId="3" applyFont="1" applyFill="1" applyAlignment="1">
      <alignment vertical="center"/>
    </xf>
    <xf numFmtId="0" fontId="1" fillId="0" borderId="0" xfId="69" applyFont="1" applyFill="1">
      <alignment vertical="center"/>
    </xf>
    <xf numFmtId="0" fontId="1" fillId="0" borderId="0" xfId="69" applyFont="1" applyFill="1" applyAlignment="1">
      <alignment horizontal="center" vertical="center"/>
    </xf>
    <xf numFmtId="0" fontId="2" fillId="0" borderId="0" xfId="46" applyFont="1" applyFill="1" applyAlignment="1">
      <alignment vertical="center"/>
    </xf>
    <xf numFmtId="177" fontId="2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3" fillId="0" borderId="0" xfId="59" applyFont="1" applyFill="1" applyAlignment="1">
      <alignment horizontal="center" vertical="center"/>
    </xf>
    <xf numFmtId="0" fontId="2" fillId="0" borderId="0" xfId="69" applyFont="1" applyFill="1">
      <alignment vertical="center"/>
    </xf>
    <xf numFmtId="0" fontId="2" fillId="0" borderId="0" xfId="69" applyFont="1" applyFill="1" applyAlignment="1">
      <alignment horizontal="center" vertical="center"/>
    </xf>
    <xf numFmtId="0" fontId="2" fillId="0" borderId="1" xfId="69" applyFont="1" applyFill="1" applyBorder="1" applyAlignment="1">
      <alignment horizontal="center" vertical="center"/>
    </xf>
    <xf numFmtId="176" fontId="4" fillId="0" borderId="2" xfId="23" applyNumberFormat="1" applyFont="1" applyFill="1" applyBorder="1" applyAlignment="1">
      <alignment horizontal="center" vertical="center"/>
    </xf>
    <xf numFmtId="0" fontId="4" fillId="0" borderId="2" xfId="69" applyFont="1" applyFill="1" applyBorder="1" applyAlignment="1">
      <alignment horizontal="center" vertical="center" wrapText="1"/>
    </xf>
    <xf numFmtId="0" fontId="4" fillId="2" borderId="2" xfId="69" applyFont="1" applyFill="1" applyBorder="1" applyAlignment="1">
      <alignment horizontal="justify" vertical="center" wrapText="1"/>
    </xf>
    <xf numFmtId="0" fontId="4" fillId="2" borderId="2" xfId="69" applyFont="1" applyFill="1" applyBorder="1" applyAlignment="1">
      <alignment horizontal="center" vertical="center" wrapText="1"/>
    </xf>
    <xf numFmtId="0" fontId="2" fillId="2" borderId="2" xfId="69" applyFont="1" applyFill="1" applyBorder="1">
      <alignment vertical="center"/>
    </xf>
    <xf numFmtId="0" fontId="4" fillId="3" borderId="2" xfId="69" applyFont="1" applyFill="1" applyBorder="1" applyAlignment="1">
      <alignment horizontal="center" vertical="center" wrapText="1"/>
    </xf>
    <xf numFmtId="0" fontId="2" fillId="3" borderId="2" xfId="69" applyFont="1" applyFill="1" applyBorder="1">
      <alignment vertical="center"/>
    </xf>
    <xf numFmtId="0" fontId="2" fillId="2" borderId="2" xfId="69" applyFont="1" applyFill="1" applyBorder="1" applyAlignment="1">
      <alignment horizontal="justify" vertical="center" wrapText="1"/>
    </xf>
    <xf numFmtId="0" fontId="2" fillId="2" borderId="2" xfId="69" applyFont="1" applyFill="1" applyBorder="1" applyAlignment="1">
      <alignment horizontal="center" vertical="center" wrapText="1"/>
    </xf>
    <xf numFmtId="178" fontId="2" fillId="2" borderId="2" xfId="64" applyNumberFormat="1" applyFont="1" applyFill="1" applyBorder="1" applyAlignment="1">
      <alignment vertical="center"/>
    </xf>
    <xf numFmtId="0" fontId="2" fillId="2" borderId="2" xfId="69" applyFont="1" applyFill="1" applyBorder="1" applyAlignment="1">
      <alignment horizontal="center" vertical="center"/>
    </xf>
    <xf numFmtId="178" fontId="4" fillId="2" borderId="2" xfId="64" applyNumberFormat="1" applyFont="1" applyFill="1" applyBorder="1" applyAlignment="1">
      <alignment vertical="center"/>
    </xf>
    <xf numFmtId="0" fontId="2" fillId="0" borderId="2" xfId="69" applyFont="1" applyFill="1" applyBorder="1">
      <alignment vertical="center"/>
    </xf>
    <xf numFmtId="178" fontId="2" fillId="2" borderId="2" xfId="64" applyNumberFormat="1" applyFont="1" applyFill="1" applyBorder="1" applyAlignment="1">
      <alignment vertical="center" wrapText="1"/>
    </xf>
    <xf numFmtId="0" fontId="4" fillId="3" borderId="2" xfId="69" applyFont="1" applyFill="1" applyBorder="1">
      <alignment vertical="center"/>
    </xf>
    <xf numFmtId="0" fontId="4" fillId="2" borderId="2" xfId="69" applyFont="1" applyFill="1" applyBorder="1" applyAlignment="1">
      <alignment horizontal="left" vertical="center" wrapText="1"/>
    </xf>
    <xf numFmtId="0" fontId="2" fillId="2" borderId="2" xfId="69" applyFont="1" applyFill="1" applyBorder="1" applyAlignment="1">
      <alignment horizontal="left" vertical="center" wrapText="1"/>
    </xf>
    <xf numFmtId="0" fontId="2" fillId="2" borderId="2" xfId="69" applyFont="1" applyFill="1" applyBorder="1" applyAlignment="1">
      <alignment vertical="center" wrapText="1"/>
    </xf>
    <xf numFmtId="0" fontId="1" fillId="0" borderId="0" xfId="46" applyFont="1" applyFill="1" applyAlignment="1" applyProtection="1">
      <alignment vertical="center"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1" fillId="0" borderId="0" xfId="66" applyFont="1" applyFill="1" applyAlignment="1" applyProtection="1">
      <alignment vertical="center"/>
      <protection locked="0"/>
    </xf>
    <xf numFmtId="0" fontId="6" fillId="0" borderId="0" xfId="46" applyFont="1" applyFill="1" applyAlignment="1" applyProtection="1">
      <alignment vertical="center"/>
      <protection locked="0"/>
    </xf>
    <xf numFmtId="0" fontId="3" fillId="0" borderId="0" xfId="66" applyFont="1" applyFill="1" applyAlignment="1" applyProtection="1">
      <alignment horizontal="center" vertical="center"/>
      <protection locked="0"/>
    </xf>
    <xf numFmtId="0" fontId="2" fillId="0" borderId="0" xfId="66" applyFont="1" applyFill="1" applyBorder="1" applyAlignment="1" applyProtection="1">
      <alignment horizontal="center" vertical="center"/>
      <protection locked="0"/>
    </xf>
    <xf numFmtId="0" fontId="2" fillId="0" borderId="0" xfId="66" applyFont="1" applyFill="1" applyAlignment="1" applyProtection="1">
      <alignment horizontal="right" vertical="center"/>
      <protection locked="0"/>
    </xf>
    <xf numFmtId="0" fontId="4" fillId="0" borderId="2" xfId="66" applyFont="1" applyFill="1" applyBorder="1" applyAlignment="1" applyProtection="1">
      <alignment horizontal="center" vertical="center"/>
      <protection locked="0"/>
    </xf>
    <xf numFmtId="177" fontId="4" fillId="0" borderId="2" xfId="59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14" applyFont="1" applyFill="1" applyBorder="1" applyAlignment="1" applyProtection="1">
      <alignment vertical="center"/>
      <protection locked="0"/>
    </xf>
    <xf numFmtId="179" fontId="7" fillId="0" borderId="2" xfId="64" applyNumberFormat="1" applyFont="1" applyFill="1" applyBorder="1" applyAlignment="1" applyProtection="1">
      <alignment horizontal="right" vertical="center"/>
    </xf>
    <xf numFmtId="0" fontId="2" fillId="0" borderId="3" xfId="14" applyFont="1" applyFill="1" applyBorder="1" applyAlignment="1" applyProtection="1">
      <alignment vertical="center"/>
      <protection locked="0"/>
    </xf>
    <xf numFmtId="179" fontId="7" fillId="0" borderId="2" xfId="64" applyNumberFormat="1" applyFont="1" applyFill="1" applyBorder="1" applyAlignment="1" applyProtection="1">
      <alignment horizontal="right" vertical="center"/>
      <protection locked="0"/>
    </xf>
    <xf numFmtId="179" fontId="8" fillId="0" borderId="2" xfId="64" applyNumberFormat="1" applyFont="1" applyFill="1" applyBorder="1" applyAlignment="1" applyProtection="1">
      <alignment horizontal="right" vertical="center"/>
      <protection locked="0"/>
    </xf>
    <xf numFmtId="0" fontId="2" fillId="0" borderId="3" xfId="14" applyFont="1" applyFill="1" applyBorder="1" applyAlignment="1" applyProtection="1">
      <alignment horizontal="left" vertical="center"/>
      <protection locked="0"/>
    </xf>
    <xf numFmtId="0" fontId="4" fillId="0" borderId="2" xfId="14" applyFont="1" applyFill="1" applyBorder="1" applyAlignment="1" applyProtection="1">
      <alignment horizontal="center" vertical="center"/>
      <protection locked="0"/>
    </xf>
    <xf numFmtId="0" fontId="1" fillId="2" borderId="0" xfId="46" applyFont="1" applyFill="1" applyAlignment="1" applyProtection="1">
      <alignment vertical="center"/>
      <protection locked="0"/>
    </xf>
    <xf numFmtId="0" fontId="1" fillId="2" borderId="0" xfId="66" applyFont="1" applyFill="1" applyAlignment="1" applyProtection="1">
      <alignment vertical="center"/>
      <protection locked="0"/>
    </xf>
    <xf numFmtId="0" fontId="5" fillId="2" borderId="0" xfId="66" applyFont="1" applyFill="1" applyAlignment="1" applyProtection="1">
      <alignment vertical="center"/>
      <protection locked="0"/>
    </xf>
    <xf numFmtId="0" fontId="9" fillId="2" borderId="0" xfId="66" applyFont="1" applyFill="1" applyAlignment="1" applyProtection="1">
      <alignment horizontal="center" vertical="center"/>
      <protection locked="0"/>
    </xf>
    <xf numFmtId="0" fontId="2" fillId="2" borderId="0" xfId="66" applyFont="1" applyFill="1" applyBorder="1" applyAlignment="1" applyProtection="1">
      <alignment horizontal="center" vertical="center"/>
      <protection locked="0"/>
    </xf>
    <xf numFmtId="0" fontId="2" fillId="2" borderId="0" xfId="66" applyFont="1" applyFill="1" applyAlignment="1" applyProtection="1">
      <alignment horizontal="right" vertical="center"/>
      <protection locked="0"/>
    </xf>
    <xf numFmtId="0" fontId="4" fillId="2" borderId="2" xfId="66" applyFont="1" applyFill="1" applyBorder="1" applyAlignment="1" applyProtection="1">
      <alignment horizontal="center" vertical="center"/>
      <protection locked="0"/>
    </xf>
    <xf numFmtId="177" fontId="4" fillId="2" borderId="2" xfId="59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66" applyFont="1" applyFill="1" applyBorder="1" applyAlignment="1" applyProtection="1">
      <alignment horizontal="left" vertical="center"/>
      <protection locked="0"/>
    </xf>
    <xf numFmtId="179" fontId="7" fillId="2" borderId="2" xfId="64" applyNumberFormat="1" applyFont="1" applyFill="1" applyBorder="1" applyAlignment="1" applyProtection="1">
      <alignment horizontal="right" vertical="center"/>
    </xf>
    <xf numFmtId="0" fontId="4" fillId="2" borderId="2" xfId="38" applyFont="1" applyFill="1" applyBorder="1" applyAlignment="1" applyProtection="1">
      <alignment horizontal="left" vertical="center" indent="1"/>
      <protection locked="0"/>
    </xf>
    <xf numFmtId="0" fontId="2" fillId="2" borderId="2" xfId="38" applyFont="1" applyFill="1" applyBorder="1" applyAlignment="1" applyProtection="1">
      <alignment horizontal="left" vertical="center" indent="1"/>
      <protection locked="0"/>
    </xf>
    <xf numFmtId="179" fontId="8" fillId="2" borderId="2" xfId="64" applyNumberFormat="1" applyFont="1" applyFill="1" applyBorder="1" applyAlignment="1" applyProtection="1">
      <alignment horizontal="right" vertical="center"/>
      <protection locked="0"/>
    </xf>
    <xf numFmtId="179" fontId="8" fillId="2" borderId="2" xfId="64" applyNumberFormat="1" applyFont="1" applyFill="1" applyBorder="1" applyAlignment="1" applyProtection="1">
      <alignment horizontal="right" vertical="center"/>
    </xf>
    <xf numFmtId="0" fontId="4" fillId="2" borderId="2" xfId="66" applyFont="1" applyFill="1" applyBorder="1" applyAlignment="1" applyProtection="1">
      <alignment vertical="center"/>
      <protection locked="0"/>
    </xf>
    <xf numFmtId="180" fontId="4" fillId="2" borderId="2" xfId="67" applyNumberFormat="1" applyFont="1" applyFill="1" applyBorder="1" applyAlignment="1" applyProtection="1">
      <alignment horizontal="left" vertical="center" indent="1"/>
      <protection locked="0"/>
    </xf>
    <xf numFmtId="0" fontId="4" fillId="2" borderId="2" xfId="38" applyFont="1" applyFill="1" applyBorder="1" applyAlignment="1" applyProtection="1">
      <alignment horizontal="left" vertical="center"/>
      <protection locked="0"/>
    </xf>
    <xf numFmtId="0" fontId="4" fillId="2" borderId="2" xfId="38" applyFont="1" applyFill="1" applyBorder="1" applyAlignment="1" applyProtection="1">
      <alignment horizontal="center" vertical="center"/>
      <protection locked="0"/>
    </xf>
    <xf numFmtId="0" fontId="0" fillId="0" borderId="0" xfId="64" applyFont="1" applyFill="1" applyBorder="1" applyAlignment="1" applyProtection="1">
      <alignment vertical="center"/>
      <protection locked="0"/>
    </xf>
    <xf numFmtId="0" fontId="0" fillId="0" borderId="0" xfId="64" applyFont="1" applyFill="1" applyBorder="1" applyAlignment="1" applyProtection="1">
      <protection locked="0"/>
    </xf>
    <xf numFmtId="178" fontId="0" fillId="0" borderId="0" xfId="64" applyNumberFormat="1" applyFont="1" applyFill="1" applyBorder="1" applyAlignment="1" applyProtection="1">
      <alignment horizontal="center"/>
      <protection locked="0"/>
    </xf>
    <xf numFmtId="0" fontId="6" fillId="0" borderId="0" xfId="65" applyFont="1" applyFill="1" applyAlignment="1" applyProtection="1">
      <alignment horizontal="left" vertical="center"/>
      <protection locked="0"/>
    </xf>
    <xf numFmtId="177" fontId="1" fillId="0" borderId="0" xfId="65" applyNumberFormat="1" applyFont="1" applyFill="1" applyAlignment="1" applyProtection="1">
      <alignment vertical="center"/>
      <protection locked="0"/>
    </xf>
    <xf numFmtId="0" fontId="1" fillId="0" borderId="0" xfId="65" applyFont="1" applyFill="1" applyAlignment="1" applyProtection="1">
      <alignment vertical="center"/>
      <protection locked="0"/>
    </xf>
    <xf numFmtId="0" fontId="9" fillId="0" borderId="0" xfId="6" applyFont="1" applyFill="1" applyAlignment="1" applyProtection="1">
      <alignment horizontal="center" vertical="center"/>
      <protection locked="0"/>
    </xf>
    <xf numFmtId="0" fontId="4" fillId="2" borderId="0" xfId="6" applyFont="1" applyFill="1" applyAlignment="1" applyProtection="1">
      <alignment vertical="center"/>
      <protection locked="0"/>
    </xf>
    <xf numFmtId="178" fontId="4" fillId="2" borderId="0" xfId="6" applyNumberFormat="1" applyFont="1" applyFill="1" applyAlignment="1" applyProtection="1">
      <alignment horizontal="center" vertical="center"/>
      <protection locked="0"/>
    </xf>
    <xf numFmtId="176" fontId="2" fillId="2" borderId="0" xfId="40" applyNumberFormat="1" applyFont="1" applyFill="1" applyAlignment="1" applyProtection="1">
      <alignment horizontal="right" vertical="center" wrapText="1"/>
      <protection locked="0"/>
    </xf>
    <xf numFmtId="0" fontId="4" fillId="2" borderId="2" xfId="15" applyFont="1" applyFill="1" applyBorder="1" applyAlignment="1" applyProtection="1">
      <alignment horizontal="center" vertical="center"/>
      <protection locked="0"/>
    </xf>
    <xf numFmtId="178" fontId="4" fillId="2" borderId="2" xfId="15" applyNumberFormat="1" applyFont="1" applyFill="1" applyBorder="1" applyAlignment="1" applyProtection="1">
      <alignment horizontal="center" vertical="center"/>
      <protection locked="0"/>
    </xf>
    <xf numFmtId="0" fontId="4" fillId="2" borderId="2" xfId="6" applyFont="1" applyFill="1" applyBorder="1" applyAlignment="1" applyProtection="1">
      <alignment horizontal="left" vertical="center"/>
      <protection locked="0"/>
    </xf>
    <xf numFmtId="179" fontId="4" fillId="2" borderId="2" xfId="70" applyNumberFormat="1" applyFont="1" applyFill="1" applyBorder="1" applyAlignment="1" applyProtection="1">
      <alignment horizontal="center" vertical="center"/>
      <protection locked="0"/>
    </xf>
    <xf numFmtId="0" fontId="7" fillId="2" borderId="2" xfId="6" applyFont="1" applyFill="1" applyBorder="1" applyAlignment="1" applyProtection="1">
      <alignment horizontal="left" vertical="center"/>
      <protection locked="0"/>
    </xf>
    <xf numFmtId="179" fontId="4" fillId="2" borderId="2" xfId="70" applyNumberFormat="1" applyFont="1" applyFill="1" applyBorder="1" applyAlignment="1" applyProtection="1">
      <alignment horizontal="center" vertical="center"/>
    </xf>
    <xf numFmtId="0" fontId="7" fillId="2" borderId="2" xfId="6" applyFont="1" applyFill="1" applyBorder="1" applyAlignment="1" applyProtection="1">
      <alignment vertical="center"/>
      <protection locked="0"/>
    </xf>
    <xf numFmtId="179" fontId="10" fillId="2" borderId="2" xfId="70" applyNumberFormat="1" applyFont="1" applyFill="1" applyBorder="1" applyAlignment="1" applyProtection="1">
      <alignment horizontal="center" vertical="center"/>
      <protection locked="0"/>
    </xf>
    <xf numFmtId="178" fontId="2" fillId="2" borderId="2" xfId="6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178" fontId="8" fillId="2" borderId="2" xfId="64" applyNumberFormat="1" applyFont="1" applyFill="1" applyBorder="1" applyAlignment="1" applyProtection="1">
      <alignment horizontal="center" vertical="center"/>
    </xf>
    <xf numFmtId="0" fontId="11" fillId="2" borderId="2" xfId="6" applyFont="1" applyFill="1" applyBorder="1" applyAlignment="1" applyProtection="1">
      <alignment vertical="center"/>
      <protection locked="0"/>
    </xf>
    <xf numFmtId="178" fontId="8" fillId="2" borderId="2" xfId="64" applyNumberFormat="1" applyFont="1" applyFill="1" applyBorder="1" applyAlignment="1" applyProtection="1">
      <alignment horizontal="center"/>
      <protection locked="0"/>
    </xf>
    <xf numFmtId="181" fontId="11" fillId="2" borderId="2" xfId="6" applyNumberFormat="1" applyFont="1" applyFill="1" applyBorder="1" applyAlignment="1" applyProtection="1">
      <alignment horizontal="left" vertical="center"/>
      <protection locked="0"/>
    </xf>
    <xf numFmtId="0" fontId="8" fillId="2" borderId="2" xfId="64" applyFont="1" applyFill="1" applyBorder="1" applyAlignment="1" applyProtection="1">
      <protection locked="0"/>
    </xf>
    <xf numFmtId="0" fontId="4" fillId="2" borderId="2" xfId="6" applyFont="1" applyFill="1" applyBorder="1" applyAlignment="1" applyProtection="1">
      <alignment horizontal="center" vertical="center"/>
      <protection locked="0"/>
    </xf>
    <xf numFmtId="0" fontId="1" fillId="0" borderId="0" xfId="64" applyFont="1" applyFill="1" applyBorder="1" applyAlignment="1">
      <alignment vertical="center"/>
    </xf>
    <xf numFmtId="0" fontId="12" fillId="0" borderId="0" xfId="64" applyFont="1" applyFill="1" applyBorder="1" applyAlignment="1">
      <alignment vertical="center"/>
    </xf>
    <xf numFmtId="0" fontId="13" fillId="0" borderId="0" xfId="64" applyFont="1" applyFill="1" applyBorder="1" applyAlignment="1">
      <alignment vertical="center"/>
    </xf>
    <xf numFmtId="0" fontId="1" fillId="0" borderId="0" xfId="64" applyFont="1" applyFill="1" applyBorder="1" applyAlignment="1" applyProtection="1">
      <alignment vertical="center" wrapText="1"/>
      <protection locked="0"/>
    </xf>
    <xf numFmtId="0" fontId="1" fillId="2" borderId="0" xfId="64" applyFont="1" applyFill="1" applyBorder="1" applyAlignment="1" applyProtection="1">
      <alignment vertical="center"/>
      <protection locked="0"/>
    </xf>
    <xf numFmtId="0" fontId="1" fillId="0" borderId="0" xfId="64" applyFont="1" applyFill="1" applyBorder="1" applyAlignment="1" applyProtection="1">
      <alignment vertical="center"/>
      <protection locked="0"/>
    </xf>
    <xf numFmtId="0" fontId="6" fillId="0" borderId="0" xfId="64" applyFont="1" applyFill="1" applyBorder="1" applyAlignment="1" applyProtection="1">
      <alignment vertical="center" wrapText="1"/>
      <protection locked="0"/>
    </xf>
    <xf numFmtId="0" fontId="14" fillId="2" borderId="0" xfId="64" applyFont="1" applyFill="1" applyBorder="1" applyAlignment="1" applyProtection="1">
      <alignment vertical="center"/>
      <protection locked="0"/>
    </xf>
    <xf numFmtId="0" fontId="14" fillId="0" borderId="0" xfId="64" applyFont="1" applyFill="1" applyBorder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horizontal="center" vertical="center" wrapText="1"/>
      <protection locked="0"/>
    </xf>
    <xf numFmtId="0" fontId="3" fillId="0" borderId="0" xfId="64" applyFont="1" applyFill="1" applyBorder="1" applyAlignment="1" applyProtection="1">
      <alignment horizontal="center" vertical="center"/>
      <protection locked="0"/>
    </xf>
    <xf numFmtId="0" fontId="15" fillId="0" borderId="0" xfId="64" applyFont="1" applyFill="1" applyBorder="1" applyAlignment="1" applyProtection="1">
      <alignment vertical="center" wrapText="1"/>
      <protection locked="0"/>
    </xf>
    <xf numFmtId="0" fontId="6" fillId="2" borderId="1" xfId="64" applyFont="1" applyFill="1" applyBorder="1" applyAlignment="1" applyProtection="1">
      <alignment horizontal="right" vertical="center"/>
      <protection locked="0"/>
    </xf>
    <xf numFmtId="0" fontId="16" fillId="0" borderId="4" xfId="64" applyFont="1" applyFill="1" applyBorder="1" applyAlignment="1" applyProtection="1">
      <alignment horizontal="center" vertical="center" wrapText="1"/>
      <protection locked="0"/>
    </xf>
    <xf numFmtId="0" fontId="16" fillId="2" borderId="4" xfId="64" applyFont="1" applyFill="1" applyBorder="1" applyAlignment="1" applyProtection="1">
      <alignment horizontal="center" vertical="center" wrapText="1"/>
      <protection locked="0"/>
    </xf>
    <xf numFmtId="3" fontId="17" fillId="0" borderId="2" xfId="64" applyNumberFormat="1" applyFont="1" applyFill="1" applyBorder="1" applyAlignment="1" applyProtection="1">
      <alignment vertical="center" wrapText="1"/>
      <protection locked="0"/>
    </xf>
    <xf numFmtId="180" fontId="17" fillId="2" borderId="2" xfId="64" applyNumberFormat="1" applyFont="1" applyFill="1" applyBorder="1" applyAlignment="1" applyProtection="1">
      <alignment horizontal="right" vertical="center"/>
    </xf>
    <xf numFmtId="0" fontId="18" fillId="0" borderId="0" xfId="64" applyFont="1" applyFill="1" applyBorder="1" applyAlignment="1" applyProtection="1">
      <alignment vertical="center"/>
      <protection locked="0"/>
    </xf>
    <xf numFmtId="3" fontId="15" fillId="0" borderId="2" xfId="64" applyNumberFormat="1" applyFont="1" applyFill="1" applyBorder="1" applyAlignment="1" applyProtection="1">
      <alignment horizontal="left" vertical="center" wrapText="1"/>
      <protection locked="0"/>
    </xf>
    <xf numFmtId="180" fontId="15" fillId="2" borderId="2" xfId="64" applyNumberFormat="1" applyFont="1" applyFill="1" applyBorder="1" applyAlignment="1" applyProtection="1">
      <alignment horizontal="right" vertical="center"/>
      <protection locked="0"/>
    </xf>
    <xf numFmtId="180" fontId="19" fillId="2" borderId="2" xfId="64" applyNumberFormat="1" applyFont="1" applyFill="1" applyBorder="1" applyAlignment="1" applyProtection="1">
      <alignment horizontal="right" vertical="center"/>
    </xf>
    <xf numFmtId="0" fontId="20" fillId="0" borderId="0" xfId="64" applyFont="1" applyFill="1" applyBorder="1" applyAlignment="1" applyProtection="1">
      <alignment vertical="center"/>
      <protection locked="0"/>
    </xf>
    <xf numFmtId="3" fontId="15" fillId="0" borderId="2" xfId="64" applyNumberFormat="1" applyFont="1" applyFill="1" applyBorder="1" applyAlignment="1" applyProtection="1">
      <alignment vertical="center" wrapText="1"/>
      <protection locked="0"/>
    </xf>
    <xf numFmtId="180" fontId="15" fillId="2" borderId="2" xfId="64" applyNumberFormat="1" applyFont="1" applyFill="1" applyBorder="1" applyAlignment="1" applyProtection="1">
      <alignment vertical="center"/>
      <protection locked="0"/>
    </xf>
    <xf numFmtId="3" fontId="19" fillId="0" borderId="2" xfId="64" applyNumberFormat="1" applyFont="1" applyFill="1" applyBorder="1" applyAlignment="1" applyProtection="1">
      <alignment vertical="center" wrapText="1"/>
      <protection locked="0"/>
    </xf>
    <xf numFmtId="0" fontId="15" fillId="0" borderId="2" xfId="64" applyFont="1" applyFill="1" applyBorder="1" applyAlignment="1" applyProtection="1">
      <alignment horizontal="left" vertical="center" wrapText="1"/>
      <protection locked="0"/>
    </xf>
    <xf numFmtId="3" fontId="19" fillId="0" borderId="2" xfId="64" applyNumberFormat="1" applyFont="1" applyFill="1" applyBorder="1" applyAlignment="1" applyProtection="1">
      <alignment horizontal="left" vertical="center" wrapText="1"/>
      <protection locked="0"/>
    </xf>
    <xf numFmtId="180" fontId="19" fillId="2" borderId="2" xfId="64" applyNumberFormat="1" applyFont="1" applyFill="1" applyBorder="1" applyAlignment="1" applyProtection="1">
      <alignment horizontal="right" vertical="center"/>
      <protection locked="0"/>
    </xf>
    <xf numFmtId="0" fontId="17" fillId="0" borderId="2" xfId="64" applyFont="1" applyFill="1" applyBorder="1" applyAlignment="1" applyProtection="1">
      <alignment horizontal="center" vertical="center" wrapText="1"/>
      <protection locked="0"/>
    </xf>
    <xf numFmtId="0" fontId="12" fillId="0" borderId="0" xfId="64" applyFont="1" applyFill="1" applyBorder="1" applyAlignment="1" applyProtection="1">
      <alignment vertical="center"/>
      <protection locked="0"/>
    </xf>
    <xf numFmtId="0" fontId="13" fillId="0" borderId="0" xfId="64" applyFont="1" applyFill="1" applyBorder="1" applyAlignment="1" applyProtection="1">
      <alignment vertical="center"/>
      <protection locked="0"/>
    </xf>
    <xf numFmtId="176" fontId="1" fillId="0" borderId="0" xfId="40" applyNumberFormat="1" applyFont="1" applyFill="1" applyAlignment="1" applyProtection="1">
      <alignment vertical="center"/>
      <protection locked="0"/>
    </xf>
    <xf numFmtId="176" fontId="1" fillId="0" borderId="0" xfId="40" applyNumberFormat="1" applyFont="1" applyFill="1" applyAlignment="1" applyProtection="1">
      <protection locked="0"/>
    </xf>
    <xf numFmtId="176" fontId="6" fillId="0" borderId="0" xfId="40" applyNumberFormat="1" applyFont="1" applyFill="1" applyAlignment="1" applyProtection="1">
      <protection locked="0"/>
    </xf>
    <xf numFmtId="176" fontId="3" fillId="0" borderId="0" xfId="68" applyNumberFormat="1" applyFont="1" applyFill="1" applyAlignment="1" applyProtection="1">
      <alignment horizontal="center" vertical="center"/>
      <protection locked="0"/>
    </xf>
    <xf numFmtId="176" fontId="2" fillId="0" borderId="0" xfId="40" applyNumberFormat="1" applyFont="1" applyFill="1" applyAlignment="1" applyProtection="1">
      <alignment horizontal="right" vertical="center"/>
      <protection locked="0"/>
    </xf>
    <xf numFmtId="176" fontId="4" fillId="2" borderId="2" xfId="40" applyNumberFormat="1" applyFont="1" applyFill="1" applyBorder="1" applyAlignment="1" applyProtection="1">
      <alignment horizontal="center" vertical="center"/>
      <protection locked="0"/>
    </xf>
    <xf numFmtId="0" fontId="8" fillId="2" borderId="2" xfId="40" applyFont="1" applyFill="1" applyBorder="1" applyAlignment="1" applyProtection="1">
      <alignment horizontal="left" vertical="center" wrapText="1"/>
      <protection locked="0"/>
    </xf>
    <xf numFmtId="179" fontId="2" fillId="2" borderId="2" xfId="70" applyNumberFormat="1" applyFont="1" applyFill="1" applyBorder="1" applyAlignment="1" applyProtection="1">
      <alignment horizontal="right" vertical="center"/>
      <protection locked="0"/>
    </xf>
    <xf numFmtId="179" fontId="2" fillId="2" borderId="2" xfId="70" applyNumberFormat="1" applyFont="1" applyFill="1" applyBorder="1" applyAlignment="1" applyProtection="1">
      <alignment horizontal="right" vertical="center"/>
    </xf>
    <xf numFmtId="0" fontId="2" fillId="2" borderId="5" xfId="64" applyNumberFormat="1" applyFont="1" applyFill="1" applyBorder="1" applyAlignment="1" applyProtection="1">
      <alignment vertical="center"/>
      <protection locked="0"/>
    </xf>
    <xf numFmtId="179" fontId="21" fillId="0" borderId="0" xfId="70" applyNumberFormat="1" applyFont="1" applyFill="1" applyBorder="1" applyAlignment="1" applyProtection="1">
      <alignment horizontal="right" vertical="center"/>
      <protection locked="0"/>
    </xf>
    <xf numFmtId="179" fontId="21" fillId="0" borderId="0" xfId="70" applyNumberFormat="1" applyFont="1" applyFill="1" applyBorder="1" applyAlignment="1" applyProtection="1">
      <alignment vertical="center"/>
      <protection locked="0"/>
    </xf>
    <xf numFmtId="43" fontId="21" fillId="0" borderId="0" xfId="70" applyNumberFormat="1" applyFont="1" applyFill="1" applyBorder="1" applyAlignment="1" applyProtection="1">
      <alignment vertical="center"/>
      <protection locked="0"/>
    </xf>
    <xf numFmtId="179" fontId="22" fillId="2" borderId="2" xfId="70" applyNumberFormat="1" applyFont="1" applyFill="1" applyBorder="1" applyAlignment="1" applyProtection="1">
      <alignment horizontal="right" vertical="center"/>
      <protection locked="0"/>
    </xf>
    <xf numFmtId="0" fontId="7" fillId="2" borderId="2" xfId="40" applyFont="1" applyFill="1" applyBorder="1" applyAlignment="1" applyProtection="1">
      <alignment horizontal="center" vertical="center"/>
      <protection locked="0"/>
    </xf>
    <xf numFmtId="179" fontId="4" fillId="2" borderId="2" xfId="7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24" applyFont="1" applyFill="1" applyBorder="1" applyAlignment="1" applyProtection="1">
      <alignment horizontal="left" vertical="center"/>
      <protection locked="0"/>
    </xf>
    <xf numFmtId="0" fontId="3" fillId="0" borderId="0" xfId="24" applyFont="1" applyFill="1" applyBorder="1" applyAlignment="1" applyProtection="1">
      <alignment horizontal="center" vertical="center" wrapText="1"/>
      <protection locked="0"/>
    </xf>
    <xf numFmtId="0" fontId="2" fillId="0" borderId="0" xfId="24" applyFont="1" applyFill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right" vertical="center" wrapText="1"/>
    </xf>
    <xf numFmtId="0" fontId="6" fillId="2" borderId="2" xfId="0" applyFont="1" applyFill="1" applyBorder="1" applyAlignment="1" applyProtection="1">
      <alignment vertical="center"/>
      <protection locked="0"/>
    </xf>
    <xf numFmtId="0" fontId="24" fillId="0" borderId="2" xfId="0" applyNumberFormat="1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6" fillId="0" borderId="0" xfId="24" applyFont="1" applyFill="1" applyBorder="1" applyAlignment="1" applyProtection="1">
      <alignment vertical="center"/>
      <protection locked="0"/>
    </xf>
    <xf numFmtId="0" fontId="3" fillId="0" borderId="0" xfId="24" applyFont="1" applyFill="1" applyBorder="1" applyAlignment="1" applyProtection="1">
      <alignment horizontal="center" vertical="center"/>
      <protection locked="0"/>
    </xf>
    <xf numFmtId="0" fontId="25" fillId="0" borderId="0" xfId="24" applyFont="1" applyFill="1" applyBorder="1" applyAlignment="1" applyProtection="1">
      <alignment vertical="center"/>
      <protection locked="0"/>
    </xf>
    <xf numFmtId="0" fontId="1" fillId="0" borderId="0" xfId="24" applyFont="1" applyFill="1" applyBorder="1" applyAlignment="1" applyProtection="1">
      <alignment vertical="center"/>
      <protection locked="0"/>
    </xf>
    <xf numFmtId="0" fontId="2" fillId="0" borderId="1" xfId="24" applyFont="1" applyFill="1" applyBorder="1" applyAlignment="1" applyProtection="1">
      <alignment horizontal="right" vertical="center"/>
      <protection locked="0"/>
    </xf>
    <xf numFmtId="0" fontId="26" fillId="2" borderId="3" xfId="24" applyFont="1" applyFill="1" applyBorder="1" applyAlignment="1" applyProtection="1">
      <alignment horizontal="center" vertical="center"/>
      <protection locked="0"/>
    </xf>
    <xf numFmtId="0" fontId="26" fillId="2" borderId="6" xfId="24" applyFont="1" applyFill="1" applyBorder="1" applyAlignment="1" applyProtection="1">
      <alignment horizontal="center" vertical="center"/>
      <protection locked="0"/>
    </xf>
    <xf numFmtId="0" fontId="26" fillId="2" borderId="2" xfId="24" applyFont="1" applyFill="1" applyBorder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179" fontId="6" fillId="2" borderId="7" xfId="10" applyNumberFormat="1" applyFont="1" applyFill="1" applyBorder="1" applyAlignment="1" applyProtection="1">
      <alignment horizontal="right" vertical="center"/>
      <protection locked="0"/>
    </xf>
    <xf numFmtId="0" fontId="17" fillId="2" borderId="2" xfId="62" applyFont="1" applyFill="1" applyBorder="1" applyAlignment="1" applyProtection="1">
      <alignment horizontal="left" vertical="center"/>
      <protection locked="0"/>
    </xf>
    <xf numFmtId="1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179" fontId="6" fillId="2" borderId="7" xfId="10" applyNumberFormat="1" applyFont="1" applyFill="1" applyBorder="1" applyAlignment="1" applyProtection="1">
      <alignment horizontal="right" vertical="center"/>
    </xf>
    <xf numFmtId="1" fontId="17" fillId="2" borderId="2" xfId="62" applyNumberFormat="1" applyFont="1" applyFill="1" applyBorder="1" applyAlignment="1" applyProtection="1">
      <alignment horizontal="left" vertical="center" wrapText="1"/>
      <protection locked="0"/>
    </xf>
    <xf numFmtId="0" fontId="17" fillId="2" borderId="2" xfId="62" applyFont="1" applyFill="1" applyBorder="1" applyAlignment="1" applyProtection="1">
      <alignment vertical="center" wrapText="1"/>
    </xf>
    <xf numFmtId="0" fontId="6" fillId="2" borderId="2" xfId="62" applyFont="1" applyFill="1" applyBorder="1" applyAlignment="1" applyProtection="1">
      <alignment vertical="center" wrapText="1"/>
    </xf>
    <xf numFmtId="1" fontId="6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1" fontId="6" fillId="2" borderId="2" xfId="62" applyNumberFormat="1" applyFont="1" applyFill="1" applyBorder="1" applyAlignment="1" applyProtection="1">
      <alignment horizontal="left" vertical="center" wrapText="1"/>
      <protection locked="0"/>
    </xf>
    <xf numFmtId="0" fontId="6" fillId="2" borderId="2" xfId="62" applyFont="1" applyFill="1" applyBorder="1" applyAlignment="1" applyProtection="1">
      <alignment vertical="center" wrapText="1"/>
      <protection locked="0"/>
    </xf>
    <xf numFmtId="1" fontId="17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 wrapText="1"/>
      <protection locked="0"/>
    </xf>
    <xf numFmtId="3" fontId="6" fillId="2" borderId="2" xfId="0" applyNumberFormat="1" applyFont="1" applyFill="1" applyBorder="1" applyAlignment="1" applyProtection="1">
      <alignment vertical="center" wrapText="1"/>
      <protection locked="0"/>
    </xf>
    <xf numFmtId="3" fontId="6" fillId="2" borderId="2" xfId="62" applyNumberFormat="1" applyFont="1" applyFill="1" applyBorder="1" applyAlignment="1" applyProtection="1">
      <alignment vertical="center" wrapText="1"/>
      <protection locked="0"/>
    </xf>
    <xf numFmtId="3" fontId="17" fillId="2" borderId="2" xfId="0" applyNumberFormat="1" applyFont="1" applyFill="1" applyBorder="1" applyAlignment="1" applyProtection="1">
      <alignment vertical="center" wrapText="1"/>
      <protection locked="0"/>
    </xf>
    <xf numFmtId="179" fontId="17" fillId="2" borderId="7" xfId="1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vertical="center" wrapText="1"/>
      <protection locked="0"/>
    </xf>
    <xf numFmtId="179" fontId="17" fillId="2" borderId="7" xfId="10" applyNumberFormat="1" applyFont="1" applyFill="1" applyBorder="1" applyAlignment="1" applyProtection="1">
      <alignment horizontal="right" vertical="center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" fontId="17" fillId="2" borderId="2" xfId="62" applyNumberFormat="1" applyFont="1" applyFill="1" applyBorder="1" applyAlignment="1" applyProtection="1">
      <alignment vertical="center" wrapText="1"/>
      <protection locked="0"/>
    </xf>
    <xf numFmtId="0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3" fontId="6" fillId="2" borderId="2" xfId="0" applyNumberFormat="1" applyFont="1" applyFill="1" applyBorder="1" applyAlignment="1" applyProtection="1">
      <alignment horizontal="left" vertical="center" wrapText="1"/>
      <protection locked="0"/>
    </xf>
    <xf numFmtId="3" fontId="6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17" fillId="2" borderId="2" xfId="0" applyNumberFormat="1" applyFont="1" applyFill="1" applyBorder="1" applyAlignment="1" applyProtection="1">
      <alignment vertical="center"/>
      <protection locked="0"/>
    </xf>
    <xf numFmtId="3" fontId="1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7" fillId="2" borderId="2" xfId="62" applyFont="1" applyFill="1" applyBorder="1" applyAlignment="1" applyProtection="1">
      <alignment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6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0" fillId="4" borderId="0" xfId="0" applyFill="1" applyAlignment="1"/>
    <xf numFmtId="0" fontId="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right" vertical="center"/>
    </xf>
    <xf numFmtId="49" fontId="28" fillId="4" borderId="0" xfId="0" applyNumberFormat="1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left" vertical="center"/>
    </xf>
    <xf numFmtId="49" fontId="29" fillId="4" borderId="8" xfId="0" applyNumberFormat="1" applyFont="1" applyFill="1" applyBorder="1" applyAlignment="1">
      <alignment horizontal="right" vertical="center"/>
    </xf>
    <xf numFmtId="49" fontId="7" fillId="4" borderId="9" xfId="0" applyNumberFormat="1" applyFont="1" applyFill="1" applyBorder="1" applyAlignment="1">
      <alignment horizontal="center" vertical="center"/>
    </xf>
    <xf numFmtId="49" fontId="11" fillId="4" borderId="9" xfId="0" applyNumberFormat="1" applyFont="1" applyFill="1" applyBorder="1" applyAlignment="1">
      <alignment horizontal="left" vertical="center"/>
    </xf>
    <xf numFmtId="4" fontId="11" fillId="4" borderId="9" xfId="0" applyNumberFormat="1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right" vertical="center"/>
    </xf>
    <xf numFmtId="0" fontId="11" fillId="4" borderId="9" xfId="0" applyFont="1" applyFill="1" applyBorder="1" applyAlignment="1">
      <alignment horizontal="right" vertical="center" wrapText="1" shrinkToFit="1"/>
    </xf>
    <xf numFmtId="49" fontId="27" fillId="4" borderId="9" xfId="0" applyNumberFormat="1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right" vertical="center"/>
    </xf>
    <xf numFmtId="0" fontId="27" fillId="4" borderId="9" xfId="0" applyFont="1" applyFill="1" applyBorder="1" applyAlignment="1">
      <alignment horizontal="right" vertical="center" wrapText="1" shrinkToFit="1"/>
    </xf>
    <xf numFmtId="4" fontId="27" fillId="4" borderId="9" xfId="0" applyNumberFormat="1" applyFont="1" applyFill="1" applyBorder="1" applyAlignment="1">
      <alignment horizontal="right" vertical="center"/>
    </xf>
    <xf numFmtId="0" fontId="27" fillId="4" borderId="9" xfId="0" applyFont="1" applyFill="1" applyBorder="1" applyAlignment="1">
      <alignment horizontal="left" vertical="center"/>
    </xf>
    <xf numFmtId="49" fontId="7" fillId="4" borderId="9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 applyProtection="1">
      <alignment vertical="center"/>
      <protection locked="0"/>
    </xf>
    <xf numFmtId="179" fontId="30" fillId="0" borderId="2" xfId="10" applyNumberFormat="1" applyFont="1" applyFill="1" applyBorder="1" applyAlignment="1" applyProtection="1">
      <alignment vertical="center"/>
    </xf>
    <xf numFmtId="180" fontId="31" fillId="0" borderId="2" xfId="0" applyNumberFormat="1" applyFont="1" applyFill="1" applyBorder="1" applyAlignment="1" applyProtection="1">
      <alignment vertical="center"/>
    </xf>
    <xf numFmtId="179" fontId="1" fillId="0" borderId="0" xfId="0" applyNumberFormat="1" applyFont="1" applyFill="1" applyBorder="1" applyAlignment="1" applyProtection="1">
      <alignment vertical="center"/>
      <protection locked="0"/>
    </xf>
    <xf numFmtId="0" fontId="21" fillId="0" borderId="2" xfId="0" applyFont="1" applyFill="1" applyBorder="1" applyAlignment="1" applyProtection="1">
      <alignment vertical="center"/>
      <protection locked="0"/>
    </xf>
    <xf numFmtId="0" fontId="32" fillId="0" borderId="2" xfId="10" applyNumberFormat="1" applyFont="1" applyFill="1" applyBorder="1" applyAlignment="1" applyProtection="1">
      <alignment horizontal="right" vertical="center"/>
      <protection locked="0"/>
    </xf>
    <xf numFmtId="0" fontId="6" fillId="4" borderId="2" xfId="0" applyFont="1" applyFill="1" applyBorder="1" applyAlignment="1" applyProtection="1">
      <alignment vertical="center"/>
      <protection locked="0"/>
    </xf>
    <xf numFmtId="0" fontId="32" fillId="0" borderId="2" xfId="0" applyNumberFormat="1" applyFont="1" applyFill="1" applyBorder="1" applyAlignment="1" applyProtection="1">
      <alignment horizontal="right" vertical="center"/>
      <protection locked="0"/>
    </xf>
    <xf numFmtId="179" fontId="30" fillId="4" borderId="2" xfId="10" applyNumberFormat="1" applyFont="1" applyFill="1" applyBorder="1" applyAlignment="1" applyProtection="1">
      <alignment vertical="center"/>
    </xf>
    <xf numFmtId="0" fontId="21" fillId="0" borderId="2" xfId="0" applyFont="1" applyFill="1" applyBorder="1" applyAlignment="1" applyProtection="1">
      <alignment vertical="center" wrapText="1"/>
      <protection locked="0"/>
    </xf>
    <xf numFmtId="179" fontId="21" fillId="0" borderId="2" xfId="10" applyNumberFormat="1" applyFont="1" applyFill="1" applyBorder="1" applyAlignment="1" applyProtection="1">
      <alignment vertical="center"/>
      <protection locked="0"/>
    </xf>
    <xf numFmtId="0" fontId="33" fillId="4" borderId="2" xfId="0" applyFont="1" applyFill="1" applyBorder="1" applyAlignment="1" applyProtection="1">
      <alignment vertical="center"/>
      <protection locked="0"/>
    </xf>
    <xf numFmtId="180" fontId="31" fillId="0" borderId="2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0" xfId="18" applyAlignment="1"/>
    <xf numFmtId="0" fontId="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29" fillId="4" borderId="1" xfId="18" applyFont="1" applyFill="1" applyBorder="1" applyAlignment="1"/>
    <xf numFmtId="0" fontId="29" fillId="4" borderId="0" xfId="18" applyFont="1" applyFill="1" applyBorder="1" applyAlignment="1">
      <alignment horizontal="right" vertical="center"/>
    </xf>
    <xf numFmtId="0" fontId="16" fillId="0" borderId="7" xfId="18" applyFont="1" applyBorder="1" applyAlignment="1">
      <alignment horizontal="center" vertical="center"/>
    </xf>
    <xf numFmtId="49" fontId="16" fillId="4" borderId="2" xfId="18" applyNumberFormat="1" applyFont="1" applyFill="1" applyBorder="1" applyAlignment="1">
      <alignment horizontal="center" vertical="center" wrapText="1"/>
    </xf>
    <xf numFmtId="49" fontId="16" fillId="4" borderId="5" xfId="0" applyNumberFormat="1" applyFont="1" applyFill="1" applyBorder="1" applyAlignment="1" applyProtection="1">
      <alignment horizontal="center" vertical="center" wrapText="1"/>
    </xf>
    <xf numFmtId="49" fontId="26" fillId="4" borderId="2" xfId="0" applyNumberFormat="1" applyFont="1" applyFill="1" applyBorder="1" applyAlignment="1" applyProtection="1">
      <alignment horizontal="center" vertical="center" wrapText="1"/>
    </xf>
    <xf numFmtId="0" fontId="35" fillId="0" borderId="2" xfId="18" applyFont="1" applyBorder="1" applyAlignment="1">
      <alignment vertical="center"/>
    </xf>
    <xf numFmtId="0" fontId="6" fillId="0" borderId="2" xfId="18" applyFont="1" applyBorder="1" applyAlignment="1">
      <alignment horizontal="center" vertical="center"/>
    </xf>
    <xf numFmtId="0" fontId="29" fillId="0" borderId="3" xfId="18" applyFont="1" applyBorder="1" applyAlignment="1">
      <alignment horizontal="left" vertical="center"/>
    </xf>
    <xf numFmtId="0" fontId="29" fillId="0" borderId="2" xfId="18" applyFont="1" applyBorder="1" applyAlignment="1">
      <alignment horizontal="center" vertical="center"/>
    </xf>
    <xf numFmtId="0" fontId="29" fillId="4" borderId="2" xfId="0" applyNumberFormat="1" applyFont="1" applyFill="1" applyBorder="1" applyAlignment="1">
      <alignment horizontal="center" vertical="center"/>
    </xf>
    <xf numFmtId="0" fontId="29" fillId="0" borderId="3" xfId="18" applyFont="1" applyBorder="1" applyAlignment="1">
      <alignment vertical="center" shrinkToFit="1"/>
    </xf>
    <xf numFmtId="0" fontId="29" fillId="0" borderId="2" xfId="18" applyFont="1" applyBorder="1" applyAlignment="1">
      <alignment horizontal="left" vertical="center" shrinkToFit="1"/>
    </xf>
    <xf numFmtId="0" fontId="3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</xf>
    <xf numFmtId="0" fontId="4" fillId="4" borderId="2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vertical="center"/>
    </xf>
    <xf numFmtId="3" fontId="4" fillId="4" borderId="2" xfId="0" applyNumberFormat="1" applyFont="1" applyFill="1" applyBorder="1" applyAlignment="1" applyProtection="1">
      <alignment horizontal="right" vertical="center"/>
    </xf>
    <xf numFmtId="0" fontId="2" fillId="4" borderId="2" xfId="0" applyNumberFormat="1" applyFont="1" applyFill="1" applyBorder="1" applyAlignment="1" applyProtection="1">
      <alignment vertical="center"/>
    </xf>
    <xf numFmtId="3" fontId="2" fillId="4" borderId="2" xfId="0" applyNumberFormat="1" applyFont="1" applyFill="1" applyBorder="1" applyAlignment="1" applyProtection="1">
      <alignment horizontal="right" vertical="center"/>
    </xf>
    <xf numFmtId="3" fontId="2" fillId="5" borderId="2" xfId="0" applyNumberFormat="1" applyFont="1" applyFill="1" applyBorder="1" applyAlignment="1" applyProtection="1">
      <alignment horizontal="right" vertical="center"/>
    </xf>
    <xf numFmtId="0" fontId="2" fillId="4" borderId="2" xfId="0" applyNumberFormat="1" applyFont="1" applyFill="1" applyBorder="1" applyAlignment="1" applyProtection="1">
      <alignment horizontal="right" vertical="center"/>
    </xf>
    <xf numFmtId="0" fontId="6" fillId="4" borderId="0" xfId="0" applyFont="1" applyFill="1" applyAlignment="1"/>
    <xf numFmtId="0" fontId="3" fillId="4" borderId="0" xfId="0" applyNumberFormat="1" applyFont="1" applyFill="1" applyAlignment="1" applyProtection="1">
      <alignment horizontal="center" vertical="center"/>
    </xf>
    <xf numFmtId="0" fontId="6" fillId="4" borderId="0" xfId="0" applyNumberFormat="1" applyFont="1" applyFill="1" applyAlignment="1" applyProtection="1">
      <alignment horizontal="right" vertical="center"/>
    </xf>
    <xf numFmtId="3" fontId="4" fillId="5" borderId="2" xfId="0" applyNumberFormat="1" applyFont="1" applyFill="1" applyBorder="1" applyAlignment="1" applyProtection="1">
      <alignment horizontal="right" vertical="center"/>
    </xf>
    <xf numFmtId="0" fontId="4" fillId="4" borderId="2" xfId="0" applyNumberFormat="1" applyFont="1" applyFill="1" applyBorder="1" applyAlignment="1" applyProtection="1">
      <alignment horizontal="right" vertical="center"/>
    </xf>
    <xf numFmtId="0" fontId="12" fillId="4" borderId="0" xfId="0" applyFont="1" applyFill="1" applyAlignment="1">
      <alignment vertical="center"/>
    </xf>
    <xf numFmtId="0" fontId="6" fillId="4" borderId="0" xfId="0" applyFont="1" applyFill="1" applyAlignment="1">
      <alignment horizontal="right" vertical="center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3" fontId="4" fillId="4" borderId="2" xfId="0" applyNumberFormat="1" applyFont="1" applyFill="1" applyBorder="1" applyAlignment="1" applyProtection="1">
      <alignment horizontal="center" vertical="center"/>
    </xf>
    <xf numFmtId="3" fontId="4" fillId="4" borderId="2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2" fillId="4" borderId="2" xfId="0" applyNumberFormat="1" applyFont="1" applyFill="1" applyBorder="1" applyAlignment="1" applyProtection="1">
      <alignment vertical="center" wrapText="1"/>
    </xf>
    <xf numFmtId="0" fontId="4" fillId="4" borderId="2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21" fillId="0" borderId="0" xfId="63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2" fillId="6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10" applyNumberFormat="1" applyFont="1" applyFill="1" applyBorder="1" applyAlignment="1" applyProtection="1">
      <alignment horizontal="right" vertical="center"/>
      <protection locked="0"/>
    </xf>
    <xf numFmtId="0" fontId="10" fillId="2" borderId="12" xfId="10" applyNumberFormat="1" applyFont="1" applyFill="1" applyBorder="1" applyAlignment="1" applyProtection="1">
      <alignment horizontal="right" vertical="center"/>
      <protection locked="0"/>
    </xf>
    <xf numFmtId="180" fontId="10" fillId="2" borderId="0" xfId="13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10" applyNumberFormat="1" applyFont="1" applyFill="1" applyBorder="1" applyAlignment="1" applyProtection="1">
      <alignment horizontal="right" vertical="center"/>
      <protection locked="0"/>
    </xf>
    <xf numFmtId="0" fontId="10" fillId="2" borderId="2" xfId="10" applyNumberFormat="1" applyFont="1" applyFill="1" applyBorder="1" applyAlignment="1" applyProtection="1">
      <alignment horizontal="right" vertical="center"/>
      <protection locked="0"/>
    </xf>
    <xf numFmtId="180" fontId="10" fillId="2" borderId="2" xfId="13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179" fontId="2" fillId="2" borderId="2" xfId="10" applyNumberFormat="1" applyFont="1" applyFill="1" applyBorder="1" applyAlignment="1" applyProtection="1">
      <alignment horizontal="right" vertical="center" shrinkToFit="1"/>
    </xf>
    <xf numFmtId="179" fontId="30" fillId="0" borderId="0" xfId="0" applyNumberFormat="1" applyFont="1" applyFill="1" applyBorder="1" applyAlignment="1" applyProtection="1">
      <alignment vertical="center"/>
      <protection locked="0"/>
    </xf>
    <xf numFmtId="0" fontId="31" fillId="0" borderId="10" xfId="63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4" fillId="4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7" fillId="0" borderId="2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vertical="center"/>
      <protection locked="0"/>
    </xf>
    <xf numFmtId="179" fontId="4" fillId="4" borderId="2" xfId="10" applyNumberFormat="1" applyFont="1" applyFill="1" applyBorder="1" applyAlignment="1" applyProtection="1">
      <alignment vertical="center"/>
    </xf>
    <xf numFmtId="43" fontId="2" fillId="4" borderId="2" xfId="10" applyFont="1" applyFill="1" applyBorder="1" applyAlignment="1" applyProtection="1">
      <alignment horizontal="center" vertical="center"/>
    </xf>
    <xf numFmtId="0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2" fillId="4" borderId="2" xfId="10" applyNumberFormat="1" applyFont="1" applyFill="1" applyBorder="1" applyAlignment="1" applyProtection="1">
      <alignment horizontal="right" vertical="center"/>
      <protection locked="0"/>
    </xf>
    <xf numFmtId="0" fontId="10" fillId="4" borderId="2" xfId="10" applyNumberFormat="1" applyFont="1" applyFill="1" applyBorder="1" applyAlignment="1" applyProtection="1">
      <alignment horizontal="right" vertical="center"/>
      <protection locked="0"/>
    </xf>
    <xf numFmtId="0" fontId="2" fillId="4" borderId="2" xfId="0" applyNumberFormat="1" applyFont="1" applyFill="1" applyBorder="1" applyAlignment="1">
      <alignment vertical="center" shrinkToFit="1"/>
    </xf>
    <xf numFmtId="0" fontId="2" fillId="4" borderId="2" xfId="62" applyNumberFormat="1" applyFont="1" applyFill="1" applyBorder="1" applyAlignment="1" applyProtection="1">
      <alignment horizontal="right" vertical="center"/>
      <protection locked="0"/>
    </xf>
    <xf numFmtId="0" fontId="37" fillId="4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2" xfId="10" applyNumberFormat="1" applyFont="1" applyFill="1" applyBorder="1" applyAlignment="1" applyProtection="1">
      <alignment horizontal="right" vertical="center"/>
    </xf>
    <xf numFmtId="0" fontId="11" fillId="4" borderId="2" xfId="10" applyNumberFormat="1" applyFont="1" applyFill="1" applyBorder="1" applyAlignment="1" applyProtection="1">
      <alignment horizontal="right"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0" fillId="4" borderId="2" xfId="0" applyNumberFormat="1" applyFont="1" applyFill="1" applyBorder="1" applyAlignment="1" applyProtection="1">
      <alignment vertical="center"/>
      <protection locked="0"/>
    </xf>
    <xf numFmtId="43" fontId="2" fillId="4" borderId="2" xfId="1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 locked="0"/>
    </xf>
    <xf numFmtId="0" fontId="37" fillId="4" borderId="2" xfId="10" applyNumberFormat="1" applyFont="1" applyFill="1" applyBorder="1" applyAlignment="1" applyProtection="1">
      <alignment vertical="center"/>
    </xf>
    <xf numFmtId="43" fontId="4" fillId="4" borderId="2" xfId="1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vertical="center"/>
      <protection locked="0"/>
    </xf>
  </cellXfs>
  <cellStyles count="71">
    <cellStyle name="常规" xfId="0" builtinId="0"/>
    <cellStyle name="货币[0]" xfId="1" builtinId="7"/>
    <cellStyle name="输入" xfId="2" builtinId="20"/>
    <cellStyle name="常规_(陈诚修改稿)2006年全省及省级财政决算及07年预算执行情况表(A4 留底自用) 3" xfId="3"/>
    <cellStyle name="20% - 强调文字颜色 3" xfId="4" builtinId="38"/>
    <cellStyle name="货币" xfId="5" builtinId="4"/>
    <cellStyle name="常规 2 4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4年全省及省级财政收支执行及2015年预算草案表（20150123，自用稿）" xfId="14"/>
    <cellStyle name="常规 47 4 2 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_省级科预算草案表1.14 3" xfId="23"/>
    <cellStyle name="常规 3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常规_2015年全省及省级财政收支执行及2016年预算草案表（20160120）企业处修改" xfId="38"/>
    <cellStyle name="好" xfId="39" builtinId="26"/>
    <cellStyle name="常规 10 4 3 2 3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常规_(陈诚修改稿)2006年全省及省级财政决算及07年预算执行情况表(A4 留底自用) 2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社保基金预算报人大建议表样 2" xfId="59"/>
    <cellStyle name="60% - 强调文字颜色 6" xfId="60" builtinId="52"/>
    <cellStyle name="Normal" xfId="61"/>
    <cellStyle name="常规 2" xfId="62"/>
    <cellStyle name="常规 3" xfId="63"/>
    <cellStyle name="常规 5" xfId="64"/>
    <cellStyle name="常规_(陈诚修改稿)2006年全省及省级财政决算及07年预算执行情况表(A4 留底自用) 2 2 2 2" xfId="65"/>
    <cellStyle name="常规_国有资本经营预算表样 2 2" xfId="66"/>
    <cellStyle name="常规_国资决算以及执行情况0712 2 2" xfId="67"/>
    <cellStyle name="常规_基金分析表(99.3)" xfId="68"/>
    <cellStyle name="常规_社保基金预算报人大建议表样 3" xfId="69"/>
    <cellStyle name="千位分隔 2" xfId="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1243;&#20110;&#20961;\2019\&#20915;&#31639;\2019&#24180;&#24635;&#20915;&#31639;&#24405;&#2083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>
        <row r="5">
          <cell r="C5">
            <v>46240</v>
          </cell>
        </row>
      </sheetData>
      <sheetData sheetId="5">
        <row r="5">
          <cell r="C5">
            <v>526668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72324</v>
          </cell>
        </row>
        <row r="6">
          <cell r="O6">
            <v>81866</v>
          </cell>
        </row>
      </sheetData>
      <sheetData sheetId="15"/>
      <sheetData sheetId="16"/>
      <sheetData sheetId="17"/>
      <sheetData sheetId="18"/>
      <sheetData sheetId="19">
        <row r="5">
          <cell r="E5">
            <v>650</v>
          </cell>
        </row>
        <row r="5">
          <cell r="J5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31"/>
  <sheetViews>
    <sheetView workbookViewId="0">
      <selection activeCell="E3" sqref="E3:F3"/>
    </sheetView>
  </sheetViews>
  <sheetFormatPr defaultColWidth="9" defaultRowHeight="14.25"/>
  <cols>
    <col min="1" max="1" width="35.25" style="138" customWidth="1"/>
    <col min="2" max="2" width="10" style="298" customWidth="1"/>
    <col min="3" max="4" width="9.875" style="298" customWidth="1"/>
    <col min="5" max="5" width="10.125" style="298" customWidth="1"/>
    <col min="6" max="6" width="8.75" style="298" customWidth="1"/>
    <col min="7" max="7" width="5.25" style="138" customWidth="1"/>
    <col min="8" max="16384" width="9" style="138"/>
  </cols>
  <sheetData>
    <row r="1" ht="19.5" customHeight="1" spans="1:238">
      <c r="A1" s="138" t="s">
        <v>0</v>
      </c>
      <c r="B1" s="299"/>
      <c r="C1" s="299"/>
      <c r="D1" s="299"/>
      <c r="E1" s="299"/>
      <c r="F1" s="299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5"/>
      <c r="BY1" s="275"/>
      <c r="BZ1" s="275"/>
      <c r="CA1" s="275"/>
      <c r="CB1" s="275"/>
      <c r="CC1" s="275"/>
      <c r="CD1" s="275"/>
      <c r="CE1" s="275"/>
      <c r="CF1" s="275"/>
      <c r="CG1" s="275"/>
      <c r="CH1" s="275"/>
      <c r="CI1" s="275"/>
      <c r="CJ1" s="275"/>
      <c r="CK1" s="275"/>
      <c r="CL1" s="275"/>
      <c r="CM1" s="275"/>
      <c r="CN1" s="275"/>
      <c r="CO1" s="275"/>
      <c r="CP1" s="275"/>
      <c r="CQ1" s="275"/>
      <c r="CR1" s="275"/>
      <c r="CS1" s="275"/>
      <c r="CT1" s="275"/>
      <c r="CU1" s="275"/>
      <c r="CV1" s="275"/>
      <c r="CW1" s="275"/>
      <c r="CX1" s="275"/>
      <c r="CY1" s="275"/>
      <c r="CZ1" s="275"/>
      <c r="DA1" s="275"/>
      <c r="DB1" s="275"/>
      <c r="DC1" s="275"/>
      <c r="DD1" s="275"/>
      <c r="DE1" s="275"/>
      <c r="DF1" s="275"/>
      <c r="DG1" s="275"/>
      <c r="DH1" s="275"/>
      <c r="DI1" s="275"/>
      <c r="DJ1" s="275"/>
      <c r="DK1" s="275"/>
      <c r="DL1" s="275"/>
      <c r="DM1" s="275"/>
      <c r="DN1" s="275"/>
      <c r="DO1" s="275"/>
      <c r="DP1" s="275"/>
      <c r="DQ1" s="275"/>
      <c r="DR1" s="275"/>
      <c r="DS1" s="275"/>
      <c r="DT1" s="275"/>
      <c r="DU1" s="275"/>
      <c r="DV1" s="275"/>
      <c r="DW1" s="275"/>
      <c r="DX1" s="275"/>
      <c r="DY1" s="275"/>
      <c r="DZ1" s="275"/>
      <c r="EA1" s="275"/>
      <c r="EB1" s="275"/>
      <c r="EC1" s="275"/>
      <c r="ED1" s="275"/>
      <c r="EE1" s="275"/>
      <c r="EF1" s="275"/>
      <c r="EG1" s="275"/>
      <c r="EH1" s="275"/>
      <c r="EI1" s="275"/>
      <c r="EJ1" s="275"/>
      <c r="EK1" s="275"/>
      <c r="EL1" s="275"/>
      <c r="EM1" s="275"/>
      <c r="EN1" s="275"/>
      <c r="EO1" s="275"/>
      <c r="EP1" s="275"/>
      <c r="EQ1" s="275"/>
      <c r="ER1" s="275"/>
      <c r="ES1" s="275"/>
      <c r="ET1" s="275"/>
      <c r="EU1" s="275"/>
      <c r="EV1" s="275"/>
      <c r="EW1" s="275"/>
      <c r="EX1" s="275"/>
      <c r="EY1" s="275"/>
      <c r="EZ1" s="275"/>
      <c r="FA1" s="275"/>
      <c r="FB1" s="275"/>
      <c r="FC1" s="275"/>
      <c r="FD1" s="275"/>
      <c r="FE1" s="275"/>
      <c r="FF1" s="275"/>
      <c r="FG1" s="275"/>
      <c r="FH1" s="275"/>
      <c r="FI1" s="275"/>
      <c r="FJ1" s="275"/>
      <c r="FK1" s="275"/>
      <c r="FL1" s="275"/>
      <c r="FM1" s="275"/>
      <c r="FN1" s="275"/>
      <c r="FO1" s="275"/>
      <c r="FP1" s="275"/>
      <c r="FQ1" s="275"/>
      <c r="FR1" s="275"/>
      <c r="FS1" s="275"/>
      <c r="FT1" s="275"/>
      <c r="FU1" s="275"/>
      <c r="FV1" s="275"/>
      <c r="FW1" s="275"/>
      <c r="FX1" s="275"/>
      <c r="FY1" s="275"/>
      <c r="FZ1" s="275"/>
      <c r="GA1" s="275"/>
      <c r="GB1" s="275"/>
      <c r="GC1" s="275"/>
      <c r="GD1" s="275"/>
      <c r="GE1" s="275"/>
      <c r="GF1" s="275"/>
      <c r="GG1" s="275"/>
      <c r="GH1" s="275"/>
      <c r="GI1" s="275"/>
      <c r="GJ1" s="275"/>
      <c r="GK1" s="275"/>
      <c r="GL1" s="275"/>
      <c r="GM1" s="275"/>
      <c r="GN1" s="275"/>
      <c r="GO1" s="275"/>
      <c r="GP1" s="275"/>
      <c r="GQ1" s="275"/>
      <c r="GR1" s="275"/>
      <c r="GS1" s="275"/>
      <c r="GT1" s="275"/>
      <c r="GU1" s="275"/>
      <c r="GV1" s="275"/>
      <c r="GW1" s="275"/>
      <c r="GX1" s="275"/>
      <c r="GY1" s="275"/>
      <c r="GZ1" s="275"/>
      <c r="HA1" s="275"/>
      <c r="HB1" s="275"/>
      <c r="HC1" s="275"/>
      <c r="HD1" s="275"/>
      <c r="HE1" s="275"/>
      <c r="HF1" s="275"/>
      <c r="HG1" s="275"/>
      <c r="HH1" s="275"/>
      <c r="HI1" s="275"/>
      <c r="HJ1" s="275"/>
      <c r="HK1" s="275"/>
      <c r="HL1" s="275"/>
      <c r="HM1" s="275"/>
      <c r="HN1" s="275"/>
      <c r="HO1" s="275"/>
      <c r="HP1" s="275"/>
      <c r="HQ1" s="275"/>
      <c r="HR1" s="275"/>
      <c r="HS1" s="275"/>
      <c r="HT1" s="275"/>
      <c r="HU1" s="275"/>
      <c r="HV1" s="275"/>
      <c r="HW1" s="275"/>
      <c r="HX1" s="275"/>
      <c r="HY1" s="275"/>
      <c r="HZ1" s="275"/>
      <c r="IA1" s="275"/>
      <c r="IB1" s="275"/>
      <c r="IC1" s="275"/>
      <c r="ID1" s="275"/>
    </row>
    <row r="2" ht="33" customHeight="1" spans="1:238">
      <c r="A2" s="211" t="s">
        <v>1</v>
      </c>
      <c r="B2" s="211"/>
      <c r="C2" s="211"/>
      <c r="D2" s="211"/>
      <c r="E2" s="211"/>
      <c r="F2" s="211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</row>
    <row r="3" s="271" customFormat="1" ht="21" customHeight="1" spans="1:238">
      <c r="A3" s="301"/>
      <c r="B3" s="302"/>
      <c r="C3" s="302"/>
      <c r="D3" s="302"/>
      <c r="E3" s="303" t="s">
        <v>2</v>
      </c>
      <c r="F3" s="303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4"/>
      <c r="CZ3" s="304"/>
      <c r="DA3" s="304"/>
      <c r="DB3" s="304"/>
      <c r="DC3" s="304"/>
      <c r="DD3" s="304"/>
      <c r="DE3" s="304"/>
      <c r="DF3" s="304"/>
      <c r="DG3" s="304"/>
      <c r="DH3" s="304"/>
      <c r="DI3" s="304"/>
      <c r="DJ3" s="304"/>
      <c r="DK3" s="304"/>
      <c r="DL3" s="304"/>
      <c r="DM3" s="304"/>
      <c r="DN3" s="304"/>
      <c r="DO3" s="304"/>
      <c r="DP3" s="304"/>
      <c r="DQ3" s="304"/>
      <c r="DR3" s="304"/>
      <c r="DS3" s="304"/>
      <c r="DT3" s="304"/>
      <c r="DU3" s="304"/>
      <c r="DV3" s="304"/>
      <c r="DW3" s="304"/>
      <c r="DX3" s="304"/>
      <c r="DY3" s="304"/>
      <c r="DZ3" s="304"/>
      <c r="EA3" s="304"/>
      <c r="EB3" s="304"/>
      <c r="EC3" s="304"/>
      <c r="ED3" s="304"/>
      <c r="EE3" s="304"/>
      <c r="EF3" s="304"/>
      <c r="EG3" s="304"/>
      <c r="EH3" s="304"/>
      <c r="EI3" s="304"/>
      <c r="EJ3" s="304"/>
      <c r="EK3" s="304"/>
      <c r="EL3" s="304"/>
      <c r="EM3" s="304"/>
      <c r="EN3" s="304"/>
      <c r="EO3" s="304"/>
      <c r="EP3" s="304"/>
      <c r="EQ3" s="304"/>
      <c r="ER3" s="304"/>
      <c r="ES3" s="304"/>
      <c r="ET3" s="304"/>
      <c r="EU3" s="304"/>
      <c r="EV3" s="304"/>
      <c r="EW3" s="304"/>
      <c r="EX3" s="304"/>
      <c r="EY3" s="304"/>
      <c r="EZ3" s="304"/>
      <c r="FA3" s="304"/>
      <c r="FB3" s="304"/>
      <c r="FC3" s="304"/>
      <c r="FD3" s="304"/>
      <c r="FE3" s="304"/>
      <c r="FF3" s="304"/>
      <c r="FG3" s="304"/>
      <c r="FH3" s="304"/>
      <c r="FI3" s="304"/>
      <c r="FJ3" s="304"/>
      <c r="FK3" s="304"/>
      <c r="FL3" s="304"/>
      <c r="FM3" s="304"/>
      <c r="FN3" s="304"/>
      <c r="FO3" s="304"/>
      <c r="FP3" s="304"/>
      <c r="FQ3" s="304"/>
      <c r="FR3" s="304"/>
      <c r="FS3" s="304"/>
      <c r="FT3" s="304"/>
      <c r="FU3" s="304"/>
      <c r="FV3" s="304"/>
      <c r="FW3" s="304"/>
      <c r="FX3" s="304"/>
      <c r="FY3" s="304"/>
      <c r="FZ3" s="304"/>
      <c r="GA3" s="304"/>
      <c r="GB3" s="304"/>
      <c r="GC3" s="304"/>
      <c r="GD3" s="304"/>
      <c r="GE3" s="304"/>
      <c r="GF3" s="304"/>
      <c r="GG3" s="304"/>
      <c r="GH3" s="304"/>
      <c r="GI3" s="304"/>
      <c r="GJ3" s="304"/>
      <c r="GK3" s="304"/>
      <c r="GL3" s="304"/>
      <c r="GM3" s="304"/>
      <c r="GN3" s="304"/>
      <c r="GO3" s="304"/>
      <c r="GP3" s="304"/>
      <c r="GQ3" s="304"/>
      <c r="GR3" s="304"/>
      <c r="GS3" s="304"/>
      <c r="GT3" s="304"/>
      <c r="GU3" s="304"/>
      <c r="GV3" s="304"/>
      <c r="GW3" s="304"/>
      <c r="GX3" s="304"/>
      <c r="GY3" s="304"/>
      <c r="GZ3" s="304"/>
      <c r="HA3" s="304"/>
      <c r="HB3" s="304"/>
      <c r="HC3" s="304"/>
      <c r="HD3" s="304"/>
      <c r="HE3" s="304"/>
      <c r="HF3" s="304"/>
      <c r="HG3" s="304"/>
      <c r="HH3" s="304"/>
      <c r="HI3" s="304"/>
      <c r="HJ3" s="304"/>
      <c r="HK3" s="304"/>
      <c r="HL3" s="304"/>
      <c r="HM3" s="304"/>
      <c r="HN3" s="304"/>
      <c r="HO3" s="304"/>
      <c r="HP3" s="304"/>
      <c r="HQ3" s="304"/>
      <c r="HR3" s="304"/>
      <c r="HS3" s="304"/>
      <c r="HT3" s="304"/>
      <c r="HU3" s="304"/>
      <c r="HV3" s="304"/>
      <c r="HW3" s="304"/>
      <c r="HX3" s="304"/>
      <c r="HY3" s="304"/>
      <c r="HZ3" s="304"/>
      <c r="IA3" s="304"/>
      <c r="IB3" s="304"/>
      <c r="IC3" s="304"/>
      <c r="ID3" s="304"/>
    </row>
    <row r="4" s="271" customFormat="1" ht="39" customHeight="1" spans="1:238">
      <c r="A4" s="305" t="s">
        <v>3</v>
      </c>
      <c r="B4" s="264" t="s">
        <v>4</v>
      </c>
      <c r="C4" s="264" t="s">
        <v>5</v>
      </c>
      <c r="D4" s="264" t="s">
        <v>6</v>
      </c>
      <c r="E4" s="264" t="s">
        <v>7</v>
      </c>
      <c r="F4" s="264" t="s">
        <v>8</v>
      </c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4"/>
      <c r="BQ4" s="304"/>
      <c r="BR4" s="304"/>
      <c r="BS4" s="304"/>
      <c r="BT4" s="304"/>
      <c r="BU4" s="304"/>
      <c r="BV4" s="304"/>
      <c r="BW4" s="304"/>
      <c r="BX4" s="304"/>
      <c r="BY4" s="304"/>
      <c r="BZ4" s="304"/>
      <c r="CA4" s="304"/>
      <c r="CB4" s="304"/>
      <c r="CC4" s="304"/>
      <c r="CD4" s="304"/>
      <c r="CE4" s="304"/>
      <c r="CF4" s="304"/>
      <c r="CG4" s="304"/>
      <c r="CH4" s="304"/>
      <c r="CI4" s="304"/>
      <c r="CJ4" s="304"/>
      <c r="CK4" s="304"/>
      <c r="CL4" s="304"/>
      <c r="CM4" s="304"/>
      <c r="CN4" s="304"/>
      <c r="CO4" s="304"/>
      <c r="CP4" s="304"/>
      <c r="CQ4" s="304"/>
      <c r="CR4" s="304"/>
      <c r="CS4" s="304"/>
      <c r="CT4" s="304"/>
      <c r="CU4" s="304"/>
      <c r="CV4" s="304"/>
      <c r="CW4" s="304"/>
      <c r="CX4" s="304"/>
      <c r="CY4" s="304"/>
      <c r="CZ4" s="304"/>
      <c r="DA4" s="304"/>
      <c r="DB4" s="304"/>
      <c r="DC4" s="304"/>
      <c r="DD4" s="304"/>
      <c r="DE4" s="304"/>
      <c r="DF4" s="304"/>
      <c r="DG4" s="304"/>
      <c r="DH4" s="304"/>
      <c r="DI4" s="304"/>
      <c r="DJ4" s="304"/>
      <c r="DK4" s="304"/>
      <c r="DL4" s="304"/>
      <c r="DM4" s="304"/>
      <c r="DN4" s="304"/>
      <c r="DO4" s="304"/>
      <c r="DP4" s="304"/>
      <c r="DQ4" s="304"/>
      <c r="DR4" s="304"/>
      <c r="DS4" s="304"/>
      <c r="DT4" s="304"/>
      <c r="DU4" s="304"/>
      <c r="DV4" s="304"/>
      <c r="DW4" s="304"/>
      <c r="DX4" s="304"/>
      <c r="DY4" s="304"/>
      <c r="DZ4" s="304"/>
      <c r="EA4" s="304"/>
      <c r="EB4" s="304"/>
      <c r="EC4" s="304"/>
      <c r="ED4" s="304"/>
      <c r="EE4" s="304"/>
      <c r="EF4" s="304"/>
      <c r="EG4" s="304"/>
      <c r="EH4" s="304"/>
      <c r="EI4" s="304"/>
      <c r="EJ4" s="304"/>
      <c r="EK4" s="304"/>
      <c r="EL4" s="304"/>
      <c r="EM4" s="304"/>
      <c r="EN4" s="304"/>
      <c r="EO4" s="304"/>
      <c r="EP4" s="304"/>
      <c r="EQ4" s="304"/>
      <c r="ER4" s="304"/>
      <c r="ES4" s="304"/>
      <c r="ET4" s="304"/>
      <c r="EU4" s="304"/>
      <c r="EV4" s="304"/>
      <c r="EW4" s="304"/>
      <c r="EX4" s="304"/>
      <c r="EY4" s="304"/>
      <c r="EZ4" s="304"/>
      <c r="FA4" s="304"/>
      <c r="FB4" s="304"/>
      <c r="FC4" s="304"/>
      <c r="FD4" s="304"/>
      <c r="FE4" s="304"/>
      <c r="FF4" s="304"/>
      <c r="FG4" s="304"/>
      <c r="FH4" s="304"/>
      <c r="FI4" s="304"/>
      <c r="FJ4" s="304"/>
      <c r="FK4" s="304"/>
      <c r="FL4" s="304"/>
      <c r="FM4" s="304"/>
      <c r="FN4" s="304"/>
      <c r="FO4" s="304"/>
      <c r="FP4" s="304"/>
      <c r="FQ4" s="304"/>
      <c r="FR4" s="304"/>
      <c r="FS4" s="304"/>
      <c r="FT4" s="304"/>
      <c r="FU4" s="304"/>
      <c r="FV4" s="304"/>
      <c r="FW4" s="304"/>
      <c r="FX4" s="304"/>
      <c r="FY4" s="304"/>
      <c r="FZ4" s="304"/>
      <c r="GA4" s="304"/>
      <c r="GB4" s="304"/>
      <c r="GC4" s="304"/>
      <c r="GD4" s="304"/>
      <c r="GE4" s="304"/>
      <c r="GF4" s="304"/>
      <c r="GG4" s="304"/>
      <c r="GH4" s="304"/>
      <c r="GI4" s="304"/>
      <c r="GJ4" s="304"/>
      <c r="GK4" s="304"/>
      <c r="GL4" s="304"/>
      <c r="GM4" s="304"/>
      <c r="GN4" s="304"/>
      <c r="GO4" s="304"/>
      <c r="GP4" s="304"/>
      <c r="GQ4" s="304"/>
      <c r="GR4" s="304"/>
      <c r="GS4" s="304"/>
      <c r="GT4" s="304"/>
      <c r="GU4" s="304"/>
      <c r="GV4" s="304"/>
      <c r="GW4" s="304"/>
      <c r="GX4" s="304"/>
      <c r="GY4" s="304"/>
      <c r="GZ4" s="304"/>
      <c r="HA4" s="304"/>
      <c r="HB4" s="304"/>
      <c r="HC4" s="304"/>
      <c r="HD4" s="304"/>
      <c r="HE4" s="304"/>
      <c r="HF4" s="304"/>
      <c r="HG4" s="304"/>
      <c r="HH4" s="304"/>
      <c r="HI4" s="304"/>
      <c r="HJ4" s="304"/>
      <c r="HK4" s="304"/>
      <c r="HL4" s="304"/>
      <c r="HM4" s="304"/>
      <c r="HN4" s="304"/>
      <c r="HO4" s="304"/>
      <c r="HP4" s="304"/>
      <c r="HQ4" s="304"/>
      <c r="HR4" s="304"/>
      <c r="HS4" s="304"/>
      <c r="HT4" s="304"/>
      <c r="HU4" s="304"/>
      <c r="HV4" s="304"/>
      <c r="HW4" s="304"/>
      <c r="HX4" s="304"/>
      <c r="HY4" s="304"/>
      <c r="HZ4" s="304"/>
      <c r="IA4" s="304"/>
      <c r="IB4" s="304"/>
      <c r="IC4" s="304"/>
      <c r="ID4" s="304"/>
    </row>
    <row r="5" s="271" customFormat="1" ht="21.75" customHeight="1" spans="1:238">
      <c r="A5" s="306" t="s">
        <v>9</v>
      </c>
      <c r="B5" s="307">
        <f>SUM(B6:B21)</f>
        <v>28262</v>
      </c>
      <c r="C5" s="307">
        <f>SUM(C6:C21)</f>
        <v>23600</v>
      </c>
      <c r="D5" s="307">
        <f>SUM(D6:D21)</f>
        <v>24043</v>
      </c>
      <c r="E5" s="308"/>
      <c r="F5" s="309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4"/>
      <c r="CW5" s="304"/>
      <c r="CX5" s="304"/>
      <c r="CY5" s="304"/>
      <c r="CZ5" s="304"/>
      <c r="DA5" s="304"/>
      <c r="DB5" s="304"/>
      <c r="DC5" s="304"/>
      <c r="DD5" s="304"/>
      <c r="DE5" s="304"/>
      <c r="DF5" s="304"/>
      <c r="DG5" s="304"/>
      <c r="DH5" s="304"/>
      <c r="DI5" s="304"/>
      <c r="DJ5" s="304"/>
      <c r="DK5" s="304"/>
      <c r="DL5" s="304"/>
      <c r="DM5" s="304"/>
      <c r="DN5" s="304"/>
      <c r="DO5" s="304"/>
      <c r="DP5" s="304"/>
      <c r="DQ5" s="304"/>
      <c r="DR5" s="304"/>
      <c r="DS5" s="304"/>
      <c r="DT5" s="304"/>
      <c r="DU5" s="304"/>
      <c r="DV5" s="304"/>
      <c r="DW5" s="304"/>
      <c r="DX5" s="304"/>
      <c r="DY5" s="304"/>
      <c r="DZ5" s="304"/>
      <c r="EA5" s="304"/>
      <c r="EB5" s="304"/>
      <c r="EC5" s="304"/>
      <c r="ED5" s="304"/>
      <c r="EE5" s="304"/>
      <c r="EF5" s="304"/>
      <c r="EG5" s="304"/>
      <c r="EH5" s="304"/>
      <c r="EI5" s="304"/>
      <c r="EJ5" s="304"/>
      <c r="EK5" s="304"/>
      <c r="EL5" s="304"/>
      <c r="EM5" s="304"/>
      <c r="EN5" s="304"/>
      <c r="EO5" s="304"/>
      <c r="EP5" s="304"/>
      <c r="EQ5" s="304"/>
      <c r="ER5" s="304"/>
      <c r="ES5" s="304"/>
      <c r="ET5" s="304"/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  <c r="FJ5" s="304"/>
      <c r="FK5" s="304"/>
      <c r="FL5" s="304"/>
      <c r="FM5" s="304"/>
      <c r="FN5" s="304"/>
      <c r="FO5" s="304"/>
      <c r="FP5" s="304"/>
      <c r="FQ5" s="304"/>
      <c r="FR5" s="304"/>
      <c r="FS5" s="304"/>
      <c r="FT5" s="304"/>
      <c r="FU5" s="304"/>
      <c r="FV5" s="304"/>
      <c r="FW5" s="304"/>
      <c r="FX5" s="304"/>
      <c r="FY5" s="304"/>
      <c r="FZ5" s="304"/>
      <c r="GA5" s="304"/>
      <c r="GB5" s="304"/>
      <c r="GC5" s="304"/>
      <c r="GD5" s="304"/>
      <c r="GE5" s="304"/>
      <c r="GF5" s="304"/>
      <c r="GG5" s="304"/>
      <c r="GH5" s="304"/>
      <c r="GI5" s="304"/>
      <c r="GJ5" s="304"/>
      <c r="GK5" s="304"/>
      <c r="GL5" s="304"/>
      <c r="GM5" s="304"/>
      <c r="GN5" s="304"/>
      <c r="GO5" s="304"/>
      <c r="GP5" s="304"/>
      <c r="GQ5" s="304"/>
      <c r="GR5" s="304"/>
      <c r="GS5" s="304"/>
      <c r="GT5" s="304"/>
      <c r="GU5" s="304"/>
      <c r="GV5" s="304"/>
      <c r="GW5" s="304"/>
      <c r="GX5" s="304"/>
      <c r="GY5" s="304"/>
      <c r="GZ5" s="304"/>
      <c r="HA5" s="304"/>
      <c r="HB5" s="304"/>
      <c r="HC5" s="304"/>
      <c r="HD5" s="304"/>
      <c r="HE5" s="304"/>
      <c r="HF5" s="304"/>
      <c r="HG5" s="304"/>
      <c r="HH5" s="304"/>
      <c r="HI5" s="304"/>
      <c r="HJ5" s="304"/>
      <c r="HK5" s="304"/>
      <c r="HL5" s="304"/>
      <c r="HM5" s="304"/>
      <c r="HN5" s="304"/>
      <c r="HO5" s="304"/>
      <c r="HP5" s="304"/>
      <c r="HQ5" s="304"/>
      <c r="HR5" s="304"/>
      <c r="HS5" s="304"/>
      <c r="HT5" s="304"/>
      <c r="HU5" s="304"/>
      <c r="HV5" s="304"/>
      <c r="HW5" s="304"/>
      <c r="HX5" s="304"/>
      <c r="HY5" s="304"/>
      <c r="HZ5" s="304"/>
      <c r="IA5" s="304"/>
      <c r="IB5" s="304"/>
      <c r="IC5" s="304"/>
      <c r="ID5" s="304"/>
    </row>
    <row r="6" s="271" customFormat="1" ht="21.75" customHeight="1" spans="1:238">
      <c r="A6" s="310" t="s">
        <v>10</v>
      </c>
      <c r="B6" s="311">
        <v>8000</v>
      </c>
      <c r="C6" s="312">
        <v>8446</v>
      </c>
      <c r="D6" s="312">
        <v>8476</v>
      </c>
      <c r="E6" s="308">
        <f t="shared" ref="E6:E31" si="0">ROUND(D6/C6*100,2)</f>
        <v>100.36</v>
      </c>
      <c r="F6" s="313">
        <v>-5.16</v>
      </c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04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4"/>
      <c r="FG6" s="304"/>
      <c r="FH6" s="304"/>
      <c r="FI6" s="304"/>
      <c r="FJ6" s="304"/>
      <c r="FK6" s="304"/>
      <c r="FL6" s="304"/>
      <c r="FM6" s="304"/>
      <c r="FN6" s="304"/>
      <c r="FO6" s="304"/>
      <c r="FP6" s="304"/>
      <c r="FQ6" s="304"/>
      <c r="FR6" s="304"/>
      <c r="FS6" s="304"/>
      <c r="FT6" s="304"/>
      <c r="FU6" s="304"/>
      <c r="FV6" s="304"/>
      <c r="FW6" s="304"/>
      <c r="FX6" s="304"/>
      <c r="FY6" s="304"/>
      <c r="FZ6" s="304"/>
      <c r="GA6" s="304"/>
      <c r="GB6" s="304"/>
      <c r="GC6" s="304"/>
      <c r="GD6" s="304"/>
      <c r="GE6" s="304"/>
      <c r="GF6" s="304"/>
      <c r="GG6" s="304"/>
      <c r="GH6" s="304"/>
      <c r="GI6" s="304"/>
      <c r="GJ6" s="304"/>
      <c r="GK6" s="304"/>
      <c r="GL6" s="304"/>
      <c r="GM6" s="304"/>
      <c r="GN6" s="304"/>
      <c r="GO6" s="304"/>
      <c r="GP6" s="304"/>
      <c r="GQ6" s="304"/>
      <c r="GR6" s="304"/>
      <c r="GS6" s="304"/>
      <c r="GT6" s="304"/>
      <c r="GU6" s="304"/>
      <c r="GV6" s="304"/>
      <c r="GW6" s="304"/>
      <c r="GX6" s="304"/>
      <c r="GY6" s="304"/>
      <c r="GZ6" s="304"/>
      <c r="HA6" s="304"/>
      <c r="HB6" s="304"/>
      <c r="HC6" s="304"/>
      <c r="HD6" s="304"/>
      <c r="HE6" s="304"/>
      <c r="HF6" s="304"/>
      <c r="HG6" s="304"/>
      <c r="HH6" s="304"/>
      <c r="HI6" s="304"/>
      <c r="HJ6" s="304"/>
      <c r="HK6" s="304"/>
      <c r="HL6" s="304"/>
      <c r="HM6" s="304"/>
      <c r="HN6" s="304"/>
      <c r="HO6" s="304"/>
      <c r="HP6" s="304"/>
      <c r="HQ6" s="304"/>
      <c r="HR6" s="304"/>
      <c r="HS6" s="304"/>
      <c r="HT6" s="304"/>
      <c r="HU6" s="304"/>
      <c r="HV6" s="304"/>
      <c r="HW6" s="304"/>
      <c r="HX6" s="304"/>
      <c r="HY6" s="304"/>
      <c r="HZ6" s="304"/>
      <c r="IA6" s="304"/>
      <c r="IB6" s="304"/>
      <c r="IC6" s="304"/>
      <c r="ID6" s="304"/>
    </row>
    <row r="7" s="271" customFormat="1" ht="21.75" customHeight="1" spans="1:238">
      <c r="A7" s="310" t="s">
        <v>11</v>
      </c>
      <c r="B7" s="311">
        <v>900</v>
      </c>
      <c r="C7" s="312">
        <v>830</v>
      </c>
      <c r="D7" s="312">
        <v>830</v>
      </c>
      <c r="E7" s="308">
        <f t="shared" si="0"/>
        <v>100</v>
      </c>
      <c r="F7" s="309">
        <v>-53.58</v>
      </c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304"/>
      <c r="BQ7" s="304"/>
      <c r="BR7" s="304"/>
      <c r="BS7" s="304"/>
      <c r="BT7" s="304"/>
      <c r="BU7" s="304"/>
      <c r="BV7" s="304"/>
      <c r="BW7" s="304"/>
      <c r="BX7" s="304"/>
      <c r="BY7" s="304"/>
      <c r="BZ7" s="304"/>
      <c r="CA7" s="304"/>
      <c r="CB7" s="304"/>
      <c r="CC7" s="304"/>
      <c r="CD7" s="304"/>
      <c r="CE7" s="304"/>
      <c r="CF7" s="304"/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4"/>
      <c r="EE7" s="304"/>
      <c r="EF7" s="304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4"/>
      <c r="ET7" s="304"/>
      <c r="EU7" s="304"/>
      <c r="EV7" s="304"/>
      <c r="EW7" s="304"/>
      <c r="EX7" s="304"/>
      <c r="EY7" s="304"/>
      <c r="EZ7" s="304"/>
      <c r="FA7" s="304"/>
      <c r="FB7" s="304"/>
      <c r="FC7" s="304"/>
      <c r="FD7" s="304"/>
      <c r="FE7" s="304"/>
      <c r="FF7" s="304"/>
      <c r="FG7" s="304"/>
      <c r="FH7" s="304"/>
      <c r="FI7" s="304"/>
      <c r="FJ7" s="304"/>
      <c r="FK7" s="304"/>
      <c r="FL7" s="304"/>
      <c r="FM7" s="304"/>
      <c r="FN7" s="304"/>
      <c r="FO7" s="304"/>
      <c r="FP7" s="304"/>
      <c r="FQ7" s="304"/>
      <c r="FR7" s="304"/>
      <c r="FS7" s="304"/>
      <c r="FT7" s="304"/>
      <c r="FU7" s="304"/>
      <c r="FV7" s="304"/>
      <c r="FW7" s="304"/>
      <c r="FX7" s="304"/>
      <c r="FY7" s="304"/>
      <c r="FZ7" s="304"/>
      <c r="GA7" s="304"/>
      <c r="GB7" s="304"/>
      <c r="GC7" s="304"/>
      <c r="GD7" s="304"/>
      <c r="GE7" s="304"/>
      <c r="GF7" s="304"/>
      <c r="GG7" s="304"/>
      <c r="GH7" s="304"/>
      <c r="GI7" s="304"/>
      <c r="GJ7" s="304"/>
      <c r="GK7" s="304"/>
      <c r="GL7" s="304"/>
      <c r="GM7" s="304"/>
      <c r="GN7" s="304"/>
      <c r="GO7" s="304"/>
      <c r="GP7" s="304"/>
      <c r="GQ7" s="304"/>
      <c r="GR7" s="304"/>
      <c r="GS7" s="304"/>
      <c r="GT7" s="304"/>
      <c r="GU7" s="304"/>
      <c r="GV7" s="304"/>
      <c r="GW7" s="304"/>
      <c r="GX7" s="304"/>
      <c r="GY7" s="304"/>
      <c r="GZ7" s="304"/>
      <c r="HA7" s="304"/>
      <c r="HB7" s="304"/>
      <c r="HC7" s="304"/>
      <c r="HD7" s="304"/>
      <c r="HE7" s="304"/>
      <c r="HF7" s="304"/>
      <c r="HG7" s="304"/>
      <c r="HH7" s="304"/>
      <c r="HI7" s="304"/>
      <c r="HJ7" s="304"/>
      <c r="HK7" s="304"/>
      <c r="HL7" s="304"/>
      <c r="HM7" s="304"/>
      <c r="HN7" s="304"/>
      <c r="HO7" s="304"/>
      <c r="HP7" s="304"/>
      <c r="HQ7" s="304"/>
      <c r="HR7" s="304"/>
      <c r="HS7" s="304"/>
      <c r="HT7" s="304"/>
      <c r="HU7" s="304"/>
      <c r="HV7" s="304"/>
      <c r="HW7" s="304"/>
      <c r="HX7" s="304"/>
      <c r="HY7" s="304"/>
      <c r="HZ7" s="304"/>
      <c r="IA7" s="304"/>
      <c r="IB7" s="304"/>
      <c r="IC7" s="304"/>
      <c r="ID7" s="304"/>
    </row>
    <row r="8" s="271" customFormat="1" ht="21.75" customHeight="1" spans="1:238">
      <c r="A8" s="310" t="s">
        <v>12</v>
      </c>
      <c r="B8" s="311"/>
      <c r="C8" s="312"/>
      <c r="D8" s="312"/>
      <c r="E8" s="308"/>
      <c r="F8" s="309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304"/>
      <c r="EC8" s="304"/>
      <c r="ED8" s="304"/>
      <c r="EE8" s="304"/>
      <c r="EF8" s="304"/>
      <c r="EG8" s="304"/>
      <c r="EH8" s="304"/>
      <c r="EI8" s="304"/>
      <c r="EJ8" s="304"/>
      <c r="EK8" s="304"/>
      <c r="EL8" s="304"/>
      <c r="EM8" s="304"/>
      <c r="EN8" s="304"/>
      <c r="EO8" s="304"/>
      <c r="EP8" s="304"/>
      <c r="EQ8" s="304"/>
      <c r="ER8" s="304"/>
      <c r="ES8" s="304"/>
      <c r="ET8" s="304"/>
      <c r="EU8" s="304"/>
      <c r="EV8" s="304"/>
      <c r="EW8" s="304"/>
      <c r="EX8" s="304"/>
      <c r="EY8" s="304"/>
      <c r="EZ8" s="304"/>
      <c r="FA8" s="304"/>
      <c r="FB8" s="304"/>
      <c r="FC8" s="304"/>
      <c r="FD8" s="304"/>
      <c r="FE8" s="304"/>
      <c r="FF8" s="304"/>
      <c r="FG8" s="304"/>
      <c r="FH8" s="304"/>
      <c r="FI8" s="304"/>
      <c r="FJ8" s="304"/>
      <c r="FK8" s="304"/>
      <c r="FL8" s="304"/>
      <c r="FM8" s="304"/>
      <c r="FN8" s="304"/>
      <c r="FO8" s="304"/>
      <c r="FP8" s="304"/>
      <c r="FQ8" s="304"/>
      <c r="FR8" s="304"/>
      <c r="FS8" s="304"/>
      <c r="FT8" s="304"/>
      <c r="FU8" s="304"/>
      <c r="FV8" s="304"/>
      <c r="FW8" s="304"/>
      <c r="FX8" s="304"/>
      <c r="FY8" s="304"/>
      <c r="FZ8" s="304"/>
      <c r="GA8" s="304"/>
      <c r="GB8" s="304"/>
      <c r="GC8" s="304"/>
      <c r="GD8" s="304"/>
      <c r="GE8" s="304"/>
      <c r="GF8" s="304"/>
      <c r="GG8" s="304"/>
      <c r="GH8" s="304"/>
      <c r="GI8" s="304"/>
      <c r="GJ8" s="304"/>
      <c r="GK8" s="304"/>
      <c r="GL8" s="304"/>
      <c r="GM8" s="304"/>
      <c r="GN8" s="304"/>
      <c r="GO8" s="304"/>
      <c r="GP8" s="304"/>
      <c r="GQ8" s="304"/>
      <c r="GR8" s="304"/>
      <c r="GS8" s="304"/>
      <c r="GT8" s="304"/>
      <c r="GU8" s="304"/>
      <c r="GV8" s="304"/>
      <c r="GW8" s="304"/>
      <c r="GX8" s="304"/>
      <c r="GY8" s="304"/>
      <c r="GZ8" s="304"/>
      <c r="HA8" s="304"/>
      <c r="HB8" s="304"/>
      <c r="HC8" s="304"/>
      <c r="HD8" s="304"/>
      <c r="HE8" s="304"/>
      <c r="HF8" s="304"/>
      <c r="HG8" s="304"/>
      <c r="HH8" s="304"/>
      <c r="HI8" s="304"/>
      <c r="HJ8" s="304"/>
      <c r="HK8" s="304"/>
      <c r="HL8" s="304"/>
      <c r="HM8" s="304"/>
      <c r="HN8" s="304"/>
      <c r="HO8" s="304"/>
      <c r="HP8" s="304"/>
      <c r="HQ8" s="304"/>
      <c r="HR8" s="304"/>
      <c r="HS8" s="304"/>
      <c r="HT8" s="304"/>
      <c r="HU8" s="304"/>
      <c r="HV8" s="304"/>
      <c r="HW8" s="304"/>
      <c r="HX8" s="304"/>
      <c r="HY8" s="304"/>
      <c r="HZ8" s="304"/>
      <c r="IA8" s="304"/>
      <c r="IB8" s="304"/>
      <c r="IC8" s="304"/>
      <c r="ID8" s="304"/>
    </row>
    <row r="9" s="271" customFormat="1" ht="21.75" customHeight="1" spans="1:238">
      <c r="A9" s="310" t="s">
        <v>13</v>
      </c>
      <c r="B9" s="311">
        <v>600</v>
      </c>
      <c r="C9" s="312">
        <v>650</v>
      </c>
      <c r="D9" s="312">
        <v>654</v>
      </c>
      <c r="E9" s="308">
        <f t="shared" si="0"/>
        <v>100.62</v>
      </c>
      <c r="F9" s="309">
        <v>-44.67</v>
      </c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304"/>
      <c r="CH9" s="304"/>
      <c r="CI9" s="304"/>
      <c r="CJ9" s="304"/>
      <c r="CK9" s="304"/>
      <c r="CL9" s="304"/>
      <c r="CM9" s="304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304"/>
      <c r="EC9" s="304"/>
      <c r="ED9" s="304"/>
      <c r="EE9" s="304"/>
      <c r="EF9" s="304"/>
      <c r="EG9" s="304"/>
      <c r="EH9" s="304"/>
      <c r="EI9" s="304"/>
      <c r="EJ9" s="304"/>
      <c r="EK9" s="304"/>
      <c r="EL9" s="304"/>
      <c r="EM9" s="304"/>
      <c r="EN9" s="304"/>
      <c r="EO9" s="304"/>
      <c r="EP9" s="304"/>
      <c r="EQ9" s="304"/>
      <c r="ER9" s="304"/>
      <c r="ES9" s="304"/>
      <c r="ET9" s="304"/>
      <c r="EU9" s="304"/>
      <c r="EV9" s="304"/>
      <c r="EW9" s="304"/>
      <c r="EX9" s="304"/>
      <c r="EY9" s="304"/>
      <c r="EZ9" s="304"/>
      <c r="FA9" s="304"/>
      <c r="FB9" s="304"/>
      <c r="FC9" s="304"/>
      <c r="FD9" s="304"/>
      <c r="FE9" s="304"/>
      <c r="FF9" s="304"/>
      <c r="FG9" s="304"/>
      <c r="FH9" s="304"/>
      <c r="FI9" s="304"/>
      <c r="FJ9" s="304"/>
      <c r="FK9" s="304"/>
      <c r="FL9" s="304"/>
      <c r="FM9" s="304"/>
      <c r="FN9" s="304"/>
      <c r="FO9" s="304"/>
      <c r="FP9" s="304"/>
      <c r="FQ9" s="304"/>
      <c r="FR9" s="304"/>
      <c r="FS9" s="304"/>
      <c r="FT9" s="304"/>
      <c r="FU9" s="304"/>
      <c r="FV9" s="304"/>
      <c r="FW9" s="304"/>
      <c r="FX9" s="304"/>
      <c r="FY9" s="304"/>
      <c r="FZ9" s="304"/>
      <c r="GA9" s="304"/>
      <c r="GB9" s="304"/>
      <c r="GC9" s="304"/>
      <c r="GD9" s="304"/>
      <c r="GE9" s="304"/>
      <c r="GF9" s="304"/>
      <c r="GG9" s="304"/>
      <c r="GH9" s="304"/>
      <c r="GI9" s="304"/>
      <c r="GJ9" s="304"/>
      <c r="GK9" s="304"/>
      <c r="GL9" s="304"/>
      <c r="GM9" s="304"/>
      <c r="GN9" s="304"/>
      <c r="GO9" s="304"/>
      <c r="GP9" s="304"/>
      <c r="GQ9" s="304"/>
      <c r="GR9" s="304"/>
      <c r="GS9" s="304"/>
      <c r="GT9" s="304"/>
      <c r="GU9" s="304"/>
      <c r="GV9" s="304"/>
      <c r="GW9" s="304"/>
      <c r="GX9" s="304"/>
      <c r="GY9" s="304"/>
      <c r="GZ9" s="304"/>
      <c r="HA9" s="304"/>
      <c r="HB9" s="304"/>
      <c r="HC9" s="304"/>
      <c r="HD9" s="304"/>
      <c r="HE9" s="304"/>
      <c r="HF9" s="304"/>
      <c r="HG9" s="304"/>
      <c r="HH9" s="304"/>
      <c r="HI9" s="304"/>
      <c r="HJ9" s="304"/>
      <c r="HK9" s="304"/>
      <c r="HL9" s="304"/>
      <c r="HM9" s="304"/>
      <c r="HN9" s="304"/>
      <c r="HO9" s="304"/>
      <c r="HP9" s="304"/>
      <c r="HQ9" s="304"/>
      <c r="HR9" s="304"/>
      <c r="HS9" s="304"/>
      <c r="HT9" s="304"/>
      <c r="HU9" s="304"/>
      <c r="HV9" s="304"/>
      <c r="HW9" s="304"/>
      <c r="HX9" s="304"/>
      <c r="HY9" s="304"/>
      <c r="HZ9" s="304"/>
      <c r="IA9" s="304"/>
      <c r="IB9" s="304"/>
      <c r="IC9" s="304"/>
      <c r="ID9" s="304"/>
    </row>
    <row r="10" s="271" customFormat="1" ht="21.75" customHeight="1" spans="1:238">
      <c r="A10" s="310" t="s">
        <v>14</v>
      </c>
      <c r="B10" s="311">
        <v>700</v>
      </c>
      <c r="C10" s="312">
        <v>658</v>
      </c>
      <c r="D10" s="312">
        <v>659</v>
      </c>
      <c r="E10" s="308">
        <f t="shared" si="0"/>
        <v>100.15</v>
      </c>
      <c r="F10" s="309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</row>
    <row r="11" s="271" customFormat="1" ht="21.75" customHeight="1" spans="1:238">
      <c r="A11" s="310" t="s">
        <v>15</v>
      </c>
      <c r="B11" s="311">
        <v>1200</v>
      </c>
      <c r="C11" s="312">
        <v>1273</v>
      </c>
      <c r="D11" s="312">
        <v>1278</v>
      </c>
      <c r="E11" s="308">
        <f t="shared" si="0"/>
        <v>100.39</v>
      </c>
      <c r="F11" s="309">
        <v>-4.27</v>
      </c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4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4"/>
      <c r="CM11" s="304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304"/>
      <c r="EC11" s="304"/>
      <c r="ED11" s="304"/>
      <c r="EE11" s="304"/>
      <c r="EF11" s="304"/>
      <c r="EG11" s="304"/>
      <c r="EH11" s="304"/>
      <c r="EI11" s="304"/>
      <c r="EJ11" s="304"/>
      <c r="EK11" s="304"/>
      <c r="EL11" s="304"/>
      <c r="EM11" s="304"/>
      <c r="EN11" s="304"/>
      <c r="EO11" s="304"/>
      <c r="EP11" s="304"/>
      <c r="EQ11" s="304"/>
      <c r="ER11" s="304"/>
      <c r="ES11" s="304"/>
      <c r="ET11" s="304"/>
      <c r="EU11" s="304"/>
      <c r="EV11" s="304"/>
      <c r="EW11" s="304"/>
      <c r="EX11" s="304"/>
      <c r="EY11" s="304"/>
      <c r="EZ11" s="304"/>
      <c r="FA11" s="304"/>
      <c r="FB11" s="304"/>
      <c r="FC11" s="304"/>
      <c r="FD11" s="304"/>
      <c r="FE11" s="304"/>
      <c r="FF11" s="304"/>
      <c r="FG11" s="304"/>
      <c r="FH11" s="304"/>
      <c r="FI11" s="304"/>
      <c r="FJ11" s="304"/>
      <c r="FK11" s="304"/>
      <c r="FL11" s="304"/>
      <c r="FM11" s="304"/>
      <c r="FN11" s="304"/>
      <c r="FO11" s="304"/>
      <c r="FP11" s="304"/>
      <c r="FQ11" s="304"/>
      <c r="FR11" s="304"/>
      <c r="FS11" s="304"/>
      <c r="FT11" s="304"/>
      <c r="FU11" s="304"/>
      <c r="FV11" s="304"/>
      <c r="FW11" s="304"/>
      <c r="FX11" s="304"/>
      <c r="FY11" s="304"/>
      <c r="FZ11" s="304"/>
      <c r="GA11" s="304"/>
      <c r="GB11" s="304"/>
      <c r="GC11" s="304"/>
      <c r="GD11" s="304"/>
      <c r="GE11" s="304"/>
      <c r="GF11" s="304"/>
      <c r="GG11" s="304"/>
      <c r="GH11" s="304"/>
      <c r="GI11" s="304"/>
      <c r="GJ11" s="304"/>
      <c r="GK11" s="304"/>
      <c r="GL11" s="304"/>
      <c r="GM11" s="304"/>
      <c r="GN11" s="304"/>
      <c r="GO11" s="304"/>
      <c r="GP11" s="304"/>
      <c r="GQ11" s="304"/>
      <c r="GR11" s="304"/>
      <c r="GS11" s="304"/>
      <c r="GT11" s="304"/>
      <c r="GU11" s="304"/>
      <c r="GV11" s="304"/>
      <c r="GW11" s="304"/>
      <c r="GX11" s="304"/>
      <c r="GY11" s="304"/>
      <c r="GZ11" s="304"/>
      <c r="HA11" s="304"/>
      <c r="HB11" s="304"/>
      <c r="HC11" s="304"/>
      <c r="HD11" s="304"/>
      <c r="HE11" s="304"/>
      <c r="HF11" s="304"/>
      <c r="HG11" s="304"/>
      <c r="HH11" s="304"/>
      <c r="HI11" s="304"/>
      <c r="HJ11" s="304"/>
      <c r="HK11" s="304"/>
      <c r="HL11" s="304"/>
      <c r="HM11" s="304"/>
      <c r="HN11" s="304"/>
      <c r="HO11" s="304"/>
      <c r="HP11" s="304"/>
      <c r="HQ11" s="304"/>
      <c r="HR11" s="304"/>
      <c r="HS11" s="304"/>
      <c r="HT11" s="304"/>
      <c r="HU11" s="304"/>
      <c r="HV11" s="304"/>
      <c r="HW11" s="304"/>
      <c r="HX11" s="304"/>
      <c r="HY11" s="304"/>
      <c r="HZ11" s="304"/>
      <c r="IA11" s="304"/>
      <c r="IB11" s="304"/>
      <c r="IC11" s="304"/>
      <c r="ID11" s="304"/>
    </row>
    <row r="12" s="271" customFormat="1" ht="21.75" customHeight="1" spans="1:238">
      <c r="A12" s="310" t="s">
        <v>16</v>
      </c>
      <c r="B12" s="311">
        <v>1590</v>
      </c>
      <c r="C12" s="312">
        <v>388</v>
      </c>
      <c r="D12" s="312">
        <v>393</v>
      </c>
      <c r="E12" s="308">
        <f t="shared" si="0"/>
        <v>101.29</v>
      </c>
      <c r="F12" s="309">
        <v>-7.96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4"/>
      <c r="BQ12" s="304"/>
      <c r="BR12" s="304"/>
      <c r="BS12" s="304"/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4"/>
      <c r="CM12" s="304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304"/>
      <c r="EC12" s="304"/>
      <c r="ED12" s="304"/>
      <c r="EE12" s="304"/>
      <c r="EF12" s="304"/>
      <c r="EG12" s="304"/>
      <c r="EH12" s="304"/>
      <c r="EI12" s="304"/>
      <c r="EJ12" s="304"/>
      <c r="EK12" s="304"/>
      <c r="EL12" s="304"/>
      <c r="EM12" s="304"/>
      <c r="EN12" s="304"/>
      <c r="EO12" s="304"/>
      <c r="EP12" s="304"/>
      <c r="EQ12" s="304"/>
      <c r="ER12" s="304"/>
      <c r="ES12" s="304"/>
      <c r="ET12" s="304"/>
      <c r="EU12" s="304"/>
      <c r="EV12" s="304"/>
      <c r="EW12" s="304"/>
      <c r="EX12" s="304"/>
      <c r="EY12" s="304"/>
      <c r="EZ12" s="304"/>
      <c r="FA12" s="304"/>
      <c r="FB12" s="304"/>
      <c r="FC12" s="304"/>
      <c r="FD12" s="304"/>
      <c r="FE12" s="304"/>
      <c r="FF12" s="304"/>
      <c r="FG12" s="304"/>
      <c r="FH12" s="304"/>
      <c r="FI12" s="304"/>
      <c r="FJ12" s="304"/>
      <c r="FK12" s="304"/>
      <c r="FL12" s="304"/>
      <c r="FM12" s="304"/>
      <c r="FN12" s="304"/>
      <c r="FO12" s="304"/>
      <c r="FP12" s="304"/>
      <c r="FQ12" s="304"/>
      <c r="FR12" s="304"/>
      <c r="FS12" s="304"/>
      <c r="FT12" s="304"/>
      <c r="FU12" s="304"/>
      <c r="FV12" s="304"/>
      <c r="FW12" s="304"/>
      <c r="FX12" s="304"/>
      <c r="FY12" s="304"/>
      <c r="FZ12" s="304"/>
      <c r="GA12" s="304"/>
      <c r="GB12" s="304"/>
      <c r="GC12" s="304"/>
      <c r="GD12" s="304"/>
      <c r="GE12" s="304"/>
      <c r="GF12" s="304"/>
      <c r="GG12" s="304"/>
      <c r="GH12" s="304"/>
      <c r="GI12" s="304"/>
      <c r="GJ12" s="304"/>
      <c r="GK12" s="304"/>
      <c r="GL12" s="304"/>
      <c r="GM12" s="304"/>
      <c r="GN12" s="304"/>
      <c r="GO12" s="304"/>
      <c r="GP12" s="304"/>
      <c r="GQ12" s="304"/>
      <c r="GR12" s="304"/>
      <c r="GS12" s="304"/>
      <c r="GT12" s="304"/>
      <c r="GU12" s="304"/>
      <c r="GV12" s="304"/>
      <c r="GW12" s="304"/>
      <c r="GX12" s="304"/>
      <c r="GY12" s="304"/>
      <c r="GZ12" s="304"/>
      <c r="HA12" s="304"/>
      <c r="HB12" s="304"/>
      <c r="HC12" s="304"/>
      <c r="HD12" s="304"/>
      <c r="HE12" s="304"/>
      <c r="HF12" s="304"/>
      <c r="HG12" s="304"/>
      <c r="HH12" s="304"/>
      <c r="HI12" s="304"/>
      <c r="HJ12" s="304"/>
      <c r="HK12" s="304"/>
      <c r="HL12" s="304"/>
      <c r="HM12" s="304"/>
      <c r="HN12" s="304"/>
      <c r="HO12" s="304"/>
      <c r="HP12" s="304"/>
      <c r="HQ12" s="304"/>
      <c r="HR12" s="304"/>
      <c r="HS12" s="304"/>
      <c r="HT12" s="304"/>
      <c r="HU12" s="304"/>
      <c r="HV12" s="304"/>
      <c r="HW12" s="304"/>
      <c r="HX12" s="304"/>
      <c r="HY12" s="304"/>
      <c r="HZ12" s="304"/>
      <c r="IA12" s="304"/>
      <c r="IB12" s="304"/>
      <c r="IC12" s="304"/>
      <c r="ID12" s="304"/>
    </row>
    <row r="13" s="271" customFormat="1" ht="21.75" customHeight="1" spans="1:238">
      <c r="A13" s="310" t="s">
        <v>17</v>
      </c>
      <c r="B13" s="311">
        <v>310</v>
      </c>
      <c r="C13" s="312">
        <v>339</v>
      </c>
      <c r="D13" s="312">
        <v>350</v>
      </c>
      <c r="E13" s="308">
        <f t="shared" si="0"/>
        <v>103.24</v>
      </c>
      <c r="F13" s="309">
        <v>11.15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4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4"/>
      <c r="CM13" s="304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4"/>
      <c r="FL13" s="304"/>
      <c r="FM13" s="304"/>
      <c r="FN13" s="304"/>
      <c r="FO13" s="304"/>
      <c r="FP13" s="304"/>
      <c r="FQ13" s="304"/>
      <c r="FR13" s="304"/>
      <c r="FS13" s="304"/>
      <c r="FT13" s="304"/>
      <c r="FU13" s="304"/>
      <c r="FV13" s="304"/>
      <c r="FW13" s="304"/>
      <c r="FX13" s="304"/>
      <c r="FY13" s="304"/>
      <c r="FZ13" s="304"/>
      <c r="GA13" s="304"/>
      <c r="GB13" s="304"/>
      <c r="GC13" s="304"/>
      <c r="GD13" s="304"/>
      <c r="GE13" s="304"/>
      <c r="GF13" s="304"/>
      <c r="GG13" s="304"/>
      <c r="GH13" s="304"/>
      <c r="GI13" s="304"/>
      <c r="GJ13" s="304"/>
      <c r="GK13" s="304"/>
      <c r="GL13" s="304"/>
      <c r="GM13" s="304"/>
      <c r="GN13" s="304"/>
      <c r="GO13" s="304"/>
      <c r="GP13" s="304"/>
      <c r="GQ13" s="304"/>
      <c r="GR13" s="304"/>
      <c r="GS13" s="304"/>
      <c r="GT13" s="304"/>
      <c r="GU13" s="304"/>
      <c r="GV13" s="304"/>
      <c r="GW13" s="304"/>
      <c r="GX13" s="304"/>
      <c r="GY13" s="304"/>
      <c r="GZ13" s="304"/>
      <c r="HA13" s="304"/>
      <c r="HB13" s="304"/>
      <c r="HC13" s="304"/>
      <c r="HD13" s="304"/>
      <c r="HE13" s="304"/>
      <c r="HF13" s="304"/>
      <c r="HG13" s="304"/>
      <c r="HH13" s="304"/>
      <c r="HI13" s="304"/>
      <c r="HJ13" s="304"/>
      <c r="HK13" s="304"/>
      <c r="HL13" s="304"/>
      <c r="HM13" s="304"/>
      <c r="HN13" s="304"/>
      <c r="HO13" s="304"/>
      <c r="HP13" s="304"/>
      <c r="HQ13" s="304"/>
      <c r="HR13" s="304"/>
      <c r="HS13" s="304"/>
      <c r="HT13" s="304"/>
      <c r="HU13" s="304"/>
      <c r="HV13" s="304"/>
      <c r="HW13" s="304"/>
      <c r="HX13" s="304"/>
      <c r="HY13" s="304"/>
      <c r="HZ13" s="304"/>
      <c r="IA13" s="304"/>
      <c r="IB13" s="304"/>
      <c r="IC13" s="304"/>
      <c r="ID13" s="304"/>
    </row>
    <row r="14" s="271" customFormat="1" ht="21.75" customHeight="1" spans="1:238">
      <c r="A14" s="310" t="s">
        <v>18</v>
      </c>
      <c r="B14" s="311">
        <v>1340</v>
      </c>
      <c r="C14" s="312">
        <v>281</v>
      </c>
      <c r="D14" s="312">
        <v>281</v>
      </c>
      <c r="E14" s="308">
        <f t="shared" si="0"/>
        <v>100</v>
      </c>
      <c r="F14" s="309">
        <v>-18.31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4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4"/>
      <c r="CM14" s="304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304"/>
      <c r="EC14" s="304"/>
      <c r="ED14" s="304"/>
      <c r="EE14" s="304"/>
      <c r="EF14" s="304"/>
      <c r="EG14" s="304"/>
      <c r="EH14" s="304"/>
      <c r="EI14" s="304"/>
      <c r="EJ14" s="304"/>
      <c r="EK14" s="304"/>
      <c r="EL14" s="304"/>
      <c r="EM14" s="304"/>
      <c r="EN14" s="304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4"/>
      <c r="FD14" s="304"/>
      <c r="FE14" s="304"/>
      <c r="FF14" s="304"/>
      <c r="FG14" s="304"/>
      <c r="FH14" s="304"/>
      <c r="FI14" s="304"/>
      <c r="FJ14" s="304"/>
      <c r="FK14" s="304"/>
      <c r="FL14" s="304"/>
      <c r="FM14" s="304"/>
      <c r="FN14" s="304"/>
      <c r="FO14" s="304"/>
      <c r="FP14" s="304"/>
      <c r="FQ14" s="304"/>
      <c r="FR14" s="304"/>
      <c r="FS14" s="304"/>
      <c r="FT14" s="304"/>
      <c r="FU14" s="304"/>
      <c r="FV14" s="304"/>
      <c r="FW14" s="304"/>
      <c r="FX14" s="304"/>
      <c r="FY14" s="304"/>
      <c r="FZ14" s="304"/>
      <c r="GA14" s="304"/>
      <c r="GB14" s="304"/>
      <c r="GC14" s="304"/>
      <c r="GD14" s="304"/>
      <c r="GE14" s="304"/>
      <c r="GF14" s="304"/>
      <c r="GG14" s="304"/>
      <c r="GH14" s="304"/>
      <c r="GI14" s="304"/>
      <c r="GJ14" s="304"/>
      <c r="GK14" s="304"/>
      <c r="GL14" s="304"/>
      <c r="GM14" s="304"/>
      <c r="GN14" s="304"/>
      <c r="GO14" s="304"/>
      <c r="GP14" s="304"/>
      <c r="GQ14" s="304"/>
      <c r="GR14" s="304"/>
      <c r="GS14" s="304"/>
      <c r="GT14" s="304"/>
      <c r="GU14" s="304"/>
      <c r="GV14" s="304"/>
      <c r="GW14" s="304"/>
      <c r="GX14" s="304"/>
      <c r="GY14" s="304"/>
      <c r="GZ14" s="304"/>
      <c r="HA14" s="304"/>
      <c r="HB14" s="304"/>
      <c r="HC14" s="304"/>
      <c r="HD14" s="304"/>
      <c r="HE14" s="304"/>
      <c r="HF14" s="304"/>
      <c r="HG14" s="304"/>
      <c r="HH14" s="304"/>
      <c r="HI14" s="304"/>
      <c r="HJ14" s="304"/>
      <c r="HK14" s="304"/>
      <c r="HL14" s="304"/>
      <c r="HM14" s="304"/>
      <c r="HN14" s="304"/>
      <c r="HO14" s="304"/>
      <c r="HP14" s="304"/>
      <c r="HQ14" s="304"/>
      <c r="HR14" s="304"/>
      <c r="HS14" s="304"/>
      <c r="HT14" s="304"/>
      <c r="HU14" s="304"/>
      <c r="HV14" s="304"/>
      <c r="HW14" s="304"/>
      <c r="HX14" s="304"/>
      <c r="HY14" s="304"/>
      <c r="HZ14" s="304"/>
      <c r="IA14" s="304"/>
      <c r="IB14" s="304"/>
      <c r="IC14" s="304"/>
      <c r="ID14" s="304"/>
    </row>
    <row r="15" s="271" customFormat="1" ht="21.75" customHeight="1" spans="1:238">
      <c r="A15" s="310" t="s">
        <v>19</v>
      </c>
      <c r="B15" s="311">
        <v>1000</v>
      </c>
      <c r="C15" s="312">
        <v>1591</v>
      </c>
      <c r="D15" s="312">
        <v>1602</v>
      </c>
      <c r="E15" s="308">
        <f t="shared" si="0"/>
        <v>100.69</v>
      </c>
      <c r="F15" s="309">
        <v>44.98</v>
      </c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4"/>
      <c r="FL15" s="304"/>
      <c r="FM15" s="304"/>
      <c r="FN15" s="304"/>
      <c r="FO15" s="304"/>
      <c r="FP15" s="304"/>
      <c r="FQ15" s="304"/>
      <c r="FR15" s="304"/>
      <c r="FS15" s="304"/>
      <c r="FT15" s="304"/>
      <c r="FU15" s="304"/>
      <c r="FV15" s="304"/>
      <c r="FW15" s="304"/>
      <c r="FX15" s="304"/>
      <c r="FY15" s="304"/>
      <c r="FZ15" s="304"/>
      <c r="GA15" s="304"/>
      <c r="GB15" s="304"/>
      <c r="GC15" s="304"/>
      <c r="GD15" s="304"/>
      <c r="GE15" s="304"/>
      <c r="GF15" s="304"/>
      <c r="GG15" s="304"/>
      <c r="GH15" s="304"/>
      <c r="GI15" s="304"/>
      <c r="GJ15" s="304"/>
      <c r="GK15" s="304"/>
      <c r="GL15" s="304"/>
      <c r="GM15" s="304"/>
      <c r="GN15" s="304"/>
      <c r="GO15" s="304"/>
      <c r="GP15" s="304"/>
      <c r="GQ15" s="304"/>
      <c r="GR15" s="304"/>
      <c r="GS15" s="304"/>
      <c r="GT15" s="304"/>
      <c r="GU15" s="304"/>
      <c r="GV15" s="304"/>
      <c r="GW15" s="304"/>
      <c r="GX15" s="304"/>
      <c r="GY15" s="304"/>
      <c r="GZ15" s="304"/>
      <c r="HA15" s="304"/>
      <c r="HB15" s="304"/>
      <c r="HC15" s="304"/>
      <c r="HD15" s="304"/>
      <c r="HE15" s="304"/>
      <c r="HF15" s="304"/>
      <c r="HG15" s="304"/>
      <c r="HH15" s="304"/>
      <c r="HI15" s="304"/>
      <c r="HJ15" s="304"/>
      <c r="HK15" s="304"/>
      <c r="HL15" s="304"/>
      <c r="HM15" s="304"/>
      <c r="HN15" s="304"/>
      <c r="HO15" s="304"/>
      <c r="HP15" s="304"/>
      <c r="HQ15" s="304"/>
      <c r="HR15" s="304"/>
      <c r="HS15" s="304"/>
      <c r="HT15" s="304"/>
      <c r="HU15" s="304"/>
      <c r="HV15" s="304"/>
      <c r="HW15" s="304"/>
      <c r="HX15" s="304"/>
      <c r="HY15" s="304"/>
      <c r="HZ15" s="304"/>
      <c r="IA15" s="304"/>
      <c r="IB15" s="304"/>
      <c r="IC15" s="304"/>
      <c r="ID15" s="304"/>
    </row>
    <row r="16" s="271" customFormat="1" ht="21.75" customHeight="1" spans="1:238">
      <c r="A16" s="310" t="s">
        <v>20</v>
      </c>
      <c r="B16" s="311">
        <v>700</v>
      </c>
      <c r="C16" s="312">
        <v>760</v>
      </c>
      <c r="D16" s="312">
        <v>761</v>
      </c>
      <c r="E16" s="308">
        <f t="shared" si="0"/>
        <v>100.13</v>
      </c>
      <c r="F16" s="309">
        <v>16.36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304"/>
      <c r="EC16" s="304"/>
      <c r="ED16" s="304"/>
      <c r="EE16" s="304"/>
      <c r="EF16" s="304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4"/>
      <c r="EW16" s="304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  <c r="FL16" s="304"/>
      <c r="FM16" s="304"/>
      <c r="FN16" s="304"/>
      <c r="FO16" s="304"/>
      <c r="FP16" s="304"/>
      <c r="FQ16" s="304"/>
      <c r="FR16" s="304"/>
      <c r="FS16" s="304"/>
      <c r="FT16" s="304"/>
      <c r="FU16" s="304"/>
      <c r="FV16" s="304"/>
      <c r="FW16" s="304"/>
      <c r="FX16" s="304"/>
      <c r="FY16" s="304"/>
      <c r="FZ16" s="304"/>
      <c r="GA16" s="304"/>
      <c r="GB16" s="304"/>
      <c r="GC16" s="304"/>
      <c r="GD16" s="304"/>
      <c r="GE16" s="304"/>
      <c r="GF16" s="304"/>
      <c r="GG16" s="304"/>
      <c r="GH16" s="304"/>
      <c r="GI16" s="304"/>
      <c r="GJ16" s="304"/>
      <c r="GK16" s="304"/>
      <c r="GL16" s="304"/>
      <c r="GM16" s="304"/>
      <c r="GN16" s="304"/>
      <c r="GO16" s="304"/>
      <c r="GP16" s="304"/>
      <c r="GQ16" s="304"/>
      <c r="GR16" s="304"/>
      <c r="GS16" s="304"/>
      <c r="GT16" s="304"/>
      <c r="GU16" s="304"/>
      <c r="GV16" s="304"/>
      <c r="GW16" s="304"/>
      <c r="GX16" s="304"/>
      <c r="GY16" s="304"/>
      <c r="GZ16" s="304"/>
      <c r="HA16" s="304"/>
      <c r="HB16" s="304"/>
      <c r="HC16" s="304"/>
      <c r="HD16" s="304"/>
      <c r="HE16" s="304"/>
      <c r="HF16" s="304"/>
      <c r="HG16" s="304"/>
      <c r="HH16" s="304"/>
      <c r="HI16" s="304"/>
      <c r="HJ16" s="304"/>
      <c r="HK16" s="304"/>
      <c r="HL16" s="304"/>
      <c r="HM16" s="304"/>
      <c r="HN16" s="304"/>
      <c r="HO16" s="304"/>
      <c r="HP16" s="304"/>
      <c r="HQ16" s="304"/>
      <c r="HR16" s="304"/>
      <c r="HS16" s="304"/>
      <c r="HT16" s="304"/>
      <c r="HU16" s="304"/>
      <c r="HV16" s="304"/>
      <c r="HW16" s="304"/>
      <c r="HX16" s="304"/>
      <c r="HY16" s="304"/>
      <c r="HZ16" s="304"/>
      <c r="IA16" s="304"/>
      <c r="IB16" s="304"/>
      <c r="IC16" s="304"/>
      <c r="ID16" s="304"/>
    </row>
    <row r="17" s="271" customFormat="1" ht="21.75" customHeight="1" spans="1:238">
      <c r="A17" s="310" t="s">
        <v>21</v>
      </c>
      <c r="B17" s="311">
        <v>6470</v>
      </c>
      <c r="C17" s="312">
        <v>3654</v>
      </c>
      <c r="D17" s="312">
        <v>3532</v>
      </c>
      <c r="E17" s="308">
        <f t="shared" si="0"/>
        <v>96.66</v>
      </c>
      <c r="F17" s="309">
        <v>-46.13</v>
      </c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4"/>
      <c r="BQ17" s="304"/>
      <c r="BR17" s="304"/>
      <c r="BS17" s="304"/>
      <c r="BT17" s="304"/>
      <c r="BU17" s="304"/>
      <c r="BV17" s="304"/>
      <c r="BW17" s="304"/>
      <c r="BX17" s="304"/>
      <c r="BY17" s="304"/>
      <c r="BZ17" s="304"/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4"/>
      <c r="CM17" s="304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304"/>
      <c r="EC17" s="304"/>
      <c r="ED17" s="304"/>
      <c r="EE17" s="304"/>
      <c r="EF17" s="304"/>
      <c r="EG17" s="304"/>
      <c r="EH17" s="304"/>
      <c r="EI17" s="304"/>
      <c r="EJ17" s="304"/>
      <c r="EK17" s="304"/>
      <c r="EL17" s="304"/>
      <c r="EM17" s="304"/>
      <c r="EN17" s="304"/>
      <c r="EO17" s="304"/>
      <c r="EP17" s="304"/>
      <c r="EQ17" s="304"/>
      <c r="ER17" s="304"/>
      <c r="ES17" s="304"/>
      <c r="ET17" s="304"/>
      <c r="EU17" s="304"/>
      <c r="EV17" s="304"/>
      <c r="EW17" s="304"/>
      <c r="EX17" s="304"/>
      <c r="EY17" s="304"/>
      <c r="EZ17" s="304"/>
      <c r="FA17" s="304"/>
      <c r="FB17" s="304"/>
      <c r="FC17" s="304"/>
      <c r="FD17" s="304"/>
      <c r="FE17" s="304"/>
      <c r="FF17" s="304"/>
      <c r="FG17" s="304"/>
      <c r="FH17" s="304"/>
      <c r="FI17" s="304"/>
      <c r="FJ17" s="304"/>
      <c r="FK17" s="304"/>
      <c r="FL17" s="304"/>
      <c r="FM17" s="304"/>
      <c r="FN17" s="304"/>
      <c r="FO17" s="304"/>
      <c r="FP17" s="304"/>
      <c r="FQ17" s="304"/>
      <c r="FR17" s="304"/>
      <c r="FS17" s="304"/>
      <c r="FT17" s="304"/>
      <c r="FU17" s="304"/>
      <c r="FV17" s="304"/>
      <c r="FW17" s="304"/>
      <c r="FX17" s="304"/>
      <c r="FY17" s="304"/>
      <c r="FZ17" s="304"/>
      <c r="GA17" s="304"/>
      <c r="GB17" s="304"/>
      <c r="GC17" s="304"/>
      <c r="GD17" s="304"/>
      <c r="GE17" s="304"/>
      <c r="GF17" s="304"/>
      <c r="GG17" s="304"/>
      <c r="GH17" s="304"/>
      <c r="GI17" s="304"/>
      <c r="GJ17" s="304"/>
      <c r="GK17" s="304"/>
      <c r="GL17" s="304"/>
      <c r="GM17" s="304"/>
      <c r="GN17" s="304"/>
      <c r="GO17" s="304"/>
      <c r="GP17" s="304"/>
      <c r="GQ17" s="304"/>
      <c r="GR17" s="304"/>
      <c r="GS17" s="304"/>
      <c r="GT17" s="304"/>
      <c r="GU17" s="304"/>
      <c r="GV17" s="304"/>
      <c r="GW17" s="304"/>
      <c r="GX17" s="304"/>
      <c r="GY17" s="304"/>
      <c r="GZ17" s="304"/>
      <c r="HA17" s="304"/>
      <c r="HB17" s="304"/>
      <c r="HC17" s="304"/>
      <c r="HD17" s="304"/>
      <c r="HE17" s="304"/>
      <c r="HF17" s="304"/>
      <c r="HG17" s="304"/>
      <c r="HH17" s="304"/>
      <c r="HI17" s="304"/>
      <c r="HJ17" s="304"/>
      <c r="HK17" s="304"/>
      <c r="HL17" s="304"/>
      <c r="HM17" s="304"/>
      <c r="HN17" s="304"/>
      <c r="HO17" s="304"/>
      <c r="HP17" s="304"/>
      <c r="HQ17" s="304"/>
      <c r="HR17" s="304"/>
      <c r="HS17" s="304"/>
      <c r="HT17" s="304"/>
      <c r="HU17" s="304"/>
      <c r="HV17" s="304"/>
      <c r="HW17" s="304"/>
      <c r="HX17" s="304"/>
      <c r="HY17" s="304"/>
      <c r="HZ17" s="304"/>
      <c r="IA17" s="304"/>
      <c r="IB17" s="304"/>
      <c r="IC17" s="304"/>
      <c r="ID17" s="304"/>
    </row>
    <row r="18" s="271" customFormat="1" ht="21.75" customHeight="1" spans="1:238">
      <c r="A18" s="310" t="s">
        <v>22</v>
      </c>
      <c r="B18" s="311">
        <v>5432</v>
      </c>
      <c r="C18" s="312">
        <v>4691</v>
      </c>
      <c r="D18" s="312">
        <v>5188</v>
      </c>
      <c r="E18" s="308">
        <f t="shared" si="0"/>
        <v>110.59</v>
      </c>
      <c r="F18" s="309">
        <v>73.86</v>
      </c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4"/>
      <c r="EF18" s="304"/>
      <c r="EG18" s="304"/>
      <c r="EH18" s="304"/>
      <c r="EI18" s="304"/>
      <c r="EJ18" s="304"/>
      <c r="EK18" s="304"/>
      <c r="EL18" s="304"/>
      <c r="EM18" s="304"/>
      <c r="EN18" s="304"/>
      <c r="EO18" s="304"/>
      <c r="EP18" s="304"/>
      <c r="EQ18" s="304"/>
      <c r="ER18" s="304"/>
      <c r="ES18" s="304"/>
      <c r="ET18" s="304"/>
      <c r="EU18" s="304"/>
      <c r="EV18" s="304"/>
      <c r="EW18" s="304"/>
      <c r="EX18" s="304"/>
      <c r="EY18" s="304"/>
      <c r="EZ18" s="304"/>
      <c r="FA18" s="304"/>
      <c r="FB18" s="304"/>
      <c r="FC18" s="304"/>
      <c r="FD18" s="304"/>
      <c r="FE18" s="304"/>
      <c r="FF18" s="304"/>
      <c r="FG18" s="304"/>
      <c r="FH18" s="304"/>
      <c r="FI18" s="304"/>
      <c r="FJ18" s="304"/>
      <c r="FK18" s="304"/>
      <c r="FL18" s="304"/>
      <c r="FM18" s="304"/>
      <c r="FN18" s="304"/>
      <c r="FO18" s="304"/>
      <c r="FP18" s="304"/>
      <c r="FQ18" s="304"/>
      <c r="FR18" s="304"/>
      <c r="FS18" s="304"/>
      <c r="FT18" s="304"/>
      <c r="FU18" s="304"/>
      <c r="FV18" s="304"/>
      <c r="FW18" s="304"/>
      <c r="FX18" s="304"/>
      <c r="FY18" s="304"/>
      <c r="FZ18" s="304"/>
      <c r="GA18" s="304"/>
      <c r="GB18" s="304"/>
      <c r="GC18" s="304"/>
      <c r="GD18" s="304"/>
      <c r="GE18" s="304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</row>
    <row r="19" s="271" customFormat="1" ht="21.75" customHeight="1" spans="1:238">
      <c r="A19" s="310" t="s">
        <v>23</v>
      </c>
      <c r="B19" s="314"/>
      <c r="C19" s="309"/>
      <c r="D19" s="309"/>
      <c r="E19" s="308"/>
      <c r="F19" s="309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4"/>
      <c r="BQ19" s="304"/>
      <c r="BR19" s="304"/>
      <c r="BS19" s="304"/>
      <c r="BT19" s="304"/>
      <c r="BU19" s="304"/>
      <c r="BV19" s="304"/>
      <c r="BW19" s="304"/>
      <c r="BX19" s="304"/>
      <c r="BY19" s="304"/>
      <c r="BZ19" s="304"/>
      <c r="CA19" s="304"/>
      <c r="CB19" s="304"/>
      <c r="CC19" s="304"/>
      <c r="CD19" s="304"/>
      <c r="CE19" s="304"/>
      <c r="CF19" s="304"/>
      <c r="CG19" s="304"/>
      <c r="CH19" s="304"/>
      <c r="CI19" s="304"/>
      <c r="CJ19" s="304"/>
      <c r="CK19" s="304"/>
      <c r="CL19" s="304"/>
      <c r="CM19" s="304"/>
      <c r="CN19" s="304"/>
      <c r="CO19" s="304"/>
      <c r="CP19" s="304"/>
      <c r="CQ19" s="304"/>
      <c r="CR19" s="304"/>
      <c r="CS19" s="304"/>
      <c r="CT19" s="304"/>
      <c r="CU19" s="304"/>
      <c r="CV19" s="304"/>
      <c r="CW19" s="304"/>
      <c r="CX19" s="304"/>
      <c r="CY19" s="304"/>
      <c r="CZ19" s="304"/>
      <c r="DA19" s="304"/>
      <c r="DB19" s="304"/>
      <c r="DC19" s="304"/>
      <c r="DD19" s="304"/>
      <c r="DE19" s="304"/>
      <c r="DF19" s="304"/>
      <c r="DG19" s="304"/>
      <c r="DH19" s="304"/>
      <c r="DI19" s="304"/>
      <c r="DJ19" s="304"/>
      <c r="DK19" s="304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4"/>
      <c r="EF19" s="304"/>
      <c r="EG19" s="304"/>
      <c r="EH19" s="304"/>
      <c r="EI19" s="304"/>
      <c r="EJ19" s="304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304"/>
      <c r="FF19" s="304"/>
      <c r="FG19" s="304"/>
      <c r="FH19" s="304"/>
      <c r="FI19" s="304"/>
      <c r="FJ19" s="304"/>
      <c r="FK19" s="304"/>
      <c r="FL19" s="304"/>
      <c r="FM19" s="304"/>
      <c r="FN19" s="304"/>
      <c r="FO19" s="304"/>
      <c r="FP19" s="304"/>
      <c r="FQ19" s="304"/>
      <c r="FR19" s="304"/>
      <c r="FS19" s="304"/>
      <c r="FT19" s="304"/>
      <c r="FU19" s="304"/>
      <c r="FV19" s="304"/>
      <c r="FW19" s="304"/>
      <c r="FX19" s="304"/>
      <c r="FY19" s="304"/>
      <c r="FZ19" s="304"/>
      <c r="GA19" s="304"/>
      <c r="GB19" s="304"/>
      <c r="GC19" s="304"/>
      <c r="GD19" s="304"/>
      <c r="GE19" s="304"/>
      <c r="GF19" s="304"/>
      <c r="GG19" s="304"/>
      <c r="GH19" s="304"/>
      <c r="GI19" s="304"/>
      <c r="GJ19" s="304"/>
      <c r="GK19" s="304"/>
      <c r="GL19" s="304"/>
      <c r="GM19" s="304"/>
      <c r="GN19" s="304"/>
      <c r="GO19" s="304"/>
      <c r="GP19" s="304"/>
      <c r="GQ19" s="304"/>
      <c r="GR19" s="304"/>
      <c r="GS19" s="304"/>
      <c r="GT19" s="304"/>
      <c r="GU19" s="304"/>
      <c r="GV19" s="304"/>
      <c r="GW19" s="304"/>
      <c r="GX19" s="304"/>
      <c r="GY19" s="304"/>
      <c r="GZ19" s="304"/>
      <c r="HA19" s="304"/>
      <c r="HB19" s="304"/>
      <c r="HC19" s="304"/>
      <c r="HD19" s="304"/>
      <c r="HE19" s="304"/>
      <c r="HF19" s="304"/>
      <c r="HG19" s="304"/>
      <c r="HH19" s="304"/>
      <c r="HI19" s="304"/>
      <c r="HJ19" s="304"/>
      <c r="HK19" s="304"/>
      <c r="HL19" s="304"/>
      <c r="HM19" s="304"/>
      <c r="HN19" s="304"/>
      <c r="HO19" s="304"/>
      <c r="HP19" s="304"/>
      <c r="HQ19" s="304"/>
      <c r="HR19" s="304"/>
      <c r="HS19" s="304"/>
      <c r="HT19" s="304"/>
      <c r="HU19" s="304"/>
      <c r="HV19" s="304"/>
      <c r="HW19" s="304"/>
      <c r="HX19" s="304"/>
      <c r="HY19" s="304"/>
      <c r="HZ19" s="304"/>
      <c r="IA19" s="304"/>
      <c r="IB19" s="304"/>
      <c r="IC19" s="304"/>
      <c r="ID19" s="304"/>
    </row>
    <row r="20" s="271" customFormat="1" ht="21.75" customHeight="1" spans="1:238">
      <c r="A20" s="310" t="s">
        <v>24</v>
      </c>
      <c r="B20" s="312">
        <v>20</v>
      </c>
      <c r="C20" s="312">
        <v>39</v>
      </c>
      <c r="D20" s="312">
        <v>39</v>
      </c>
      <c r="E20" s="308">
        <f t="shared" si="0"/>
        <v>100</v>
      </c>
      <c r="F20" s="309">
        <v>160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4"/>
      <c r="CA20" s="304"/>
      <c r="CB20" s="304"/>
      <c r="CC20" s="304"/>
      <c r="CD20" s="304"/>
      <c r="CE20" s="304"/>
      <c r="CF20" s="304"/>
      <c r="CG20" s="304"/>
      <c r="CH20" s="304"/>
      <c r="CI20" s="304"/>
      <c r="CJ20" s="304"/>
      <c r="CK20" s="304"/>
      <c r="CL20" s="304"/>
      <c r="CM20" s="304"/>
      <c r="CN20" s="304"/>
      <c r="CO20" s="304"/>
      <c r="CP20" s="304"/>
      <c r="CQ20" s="304"/>
      <c r="CR20" s="304"/>
      <c r="CS20" s="304"/>
      <c r="CT20" s="304"/>
      <c r="CU20" s="304"/>
      <c r="CV20" s="304"/>
      <c r="CW20" s="304"/>
      <c r="CX20" s="304"/>
      <c r="CY20" s="304"/>
      <c r="CZ20" s="304"/>
      <c r="DA20" s="304"/>
      <c r="DB20" s="304"/>
      <c r="DC20" s="304"/>
      <c r="DD20" s="304"/>
      <c r="DE20" s="304"/>
      <c r="DF20" s="304"/>
      <c r="DG20" s="304"/>
      <c r="DH20" s="304"/>
      <c r="DI20" s="304"/>
      <c r="DJ20" s="304"/>
      <c r="DK20" s="304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4"/>
      <c r="EF20" s="304"/>
      <c r="EG20" s="304"/>
      <c r="EH20" s="304"/>
      <c r="EI20" s="304"/>
      <c r="EJ20" s="304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304"/>
      <c r="FF20" s="304"/>
      <c r="FG20" s="304"/>
      <c r="FH20" s="304"/>
      <c r="FI20" s="304"/>
      <c r="FJ20" s="304"/>
      <c r="FK20" s="304"/>
      <c r="FL20" s="304"/>
      <c r="FM20" s="304"/>
      <c r="FN20" s="304"/>
      <c r="FO20" s="304"/>
      <c r="FP20" s="304"/>
      <c r="FQ20" s="304"/>
      <c r="FR20" s="304"/>
      <c r="FS20" s="304"/>
      <c r="FT20" s="304"/>
      <c r="FU20" s="304"/>
      <c r="FV20" s="304"/>
      <c r="FW20" s="304"/>
      <c r="FX20" s="304"/>
      <c r="FY20" s="304"/>
      <c r="FZ20" s="304"/>
      <c r="GA20" s="304"/>
      <c r="GB20" s="304"/>
      <c r="GC20" s="304"/>
      <c r="GD20" s="304"/>
      <c r="GE20" s="304"/>
      <c r="GF20" s="304"/>
      <c r="GG20" s="304"/>
      <c r="GH20" s="304"/>
      <c r="GI20" s="304"/>
      <c r="GJ20" s="304"/>
      <c r="GK20" s="304"/>
      <c r="GL20" s="304"/>
      <c r="GM20" s="304"/>
      <c r="GN20" s="304"/>
      <c r="GO20" s="304"/>
      <c r="GP20" s="304"/>
      <c r="GQ20" s="304"/>
      <c r="GR20" s="304"/>
      <c r="GS20" s="304"/>
      <c r="GT20" s="304"/>
      <c r="GU20" s="304"/>
      <c r="GV20" s="304"/>
      <c r="GW20" s="304"/>
      <c r="GX20" s="304"/>
      <c r="GY20" s="304"/>
      <c r="GZ20" s="304"/>
      <c r="HA20" s="304"/>
      <c r="HB20" s="304"/>
      <c r="HC20" s="304"/>
      <c r="HD20" s="304"/>
      <c r="HE20" s="304"/>
      <c r="HF20" s="304"/>
      <c r="HG20" s="304"/>
      <c r="HH20" s="304"/>
      <c r="HI20" s="304"/>
      <c r="HJ20" s="304"/>
      <c r="HK20" s="304"/>
      <c r="HL20" s="304"/>
      <c r="HM20" s="304"/>
      <c r="HN20" s="304"/>
      <c r="HO20" s="304"/>
      <c r="HP20" s="304"/>
      <c r="HQ20" s="304"/>
      <c r="HR20" s="304"/>
      <c r="HS20" s="304"/>
      <c r="HT20" s="304"/>
      <c r="HU20" s="304"/>
      <c r="HV20" s="304"/>
      <c r="HW20" s="304"/>
      <c r="HX20" s="304"/>
      <c r="HY20" s="304"/>
      <c r="HZ20" s="304"/>
      <c r="IA20" s="304"/>
      <c r="IB20" s="304"/>
      <c r="IC20" s="304"/>
      <c r="ID20" s="304"/>
    </row>
    <row r="21" s="271" customFormat="1" ht="21.75" customHeight="1" spans="1:238">
      <c r="A21" s="310" t="s">
        <v>25</v>
      </c>
      <c r="B21" s="312"/>
      <c r="C21" s="312"/>
      <c r="D21" s="312"/>
      <c r="E21" s="308"/>
      <c r="F21" s="315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4"/>
      <c r="BQ21" s="304"/>
      <c r="BR21" s="304"/>
      <c r="BS21" s="304"/>
      <c r="BT21" s="304"/>
      <c r="BU21" s="304"/>
      <c r="BV21" s="304"/>
      <c r="BW21" s="304"/>
      <c r="BX21" s="304"/>
      <c r="BY21" s="304"/>
      <c r="BZ21" s="304"/>
      <c r="CA21" s="304"/>
      <c r="CB21" s="304"/>
      <c r="CC21" s="304"/>
      <c r="CD21" s="304"/>
      <c r="CE21" s="304"/>
      <c r="CF21" s="304"/>
      <c r="CG21" s="304"/>
      <c r="CH21" s="304"/>
      <c r="CI21" s="304"/>
      <c r="CJ21" s="304"/>
      <c r="CK21" s="304"/>
      <c r="CL21" s="304"/>
      <c r="CM21" s="304"/>
      <c r="CN21" s="304"/>
      <c r="CO21" s="304"/>
      <c r="CP21" s="304"/>
      <c r="CQ21" s="304"/>
      <c r="CR21" s="304"/>
      <c r="CS21" s="304"/>
      <c r="CT21" s="304"/>
      <c r="CU21" s="304"/>
      <c r="CV21" s="304"/>
      <c r="CW21" s="304"/>
      <c r="CX21" s="304"/>
      <c r="CY21" s="304"/>
      <c r="CZ21" s="304"/>
      <c r="DA21" s="304"/>
      <c r="DB21" s="304"/>
      <c r="DC21" s="304"/>
      <c r="DD21" s="304"/>
      <c r="DE21" s="304"/>
      <c r="DF21" s="304"/>
      <c r="DG21" s="304"/>
      <c r="DH21" s="304"/>
      <c r="DI21" s="304"/>
      <c r="DJ21" s="304"/>
      <c r="DK21" s="304"/>
      <c r="DL21" s="304"/>
      <c r="DM21" s="304"/>
      <c r="DN21" s="304"/>
      <c r="DO21" s="304"/>
      <c r="DP21" s="304"/>
      <c r="DQ21" s="304"/>
      <c r="DR21" s="304"/>
      <c r="DS21" s="304"/>
      <c r="DT21" s="304"/>
      <c r="DU21" s="304"/>
      <c r="DV21" s="304"/>
      <c r="DW21" s="304"/>
      <c r="DX21" s="304"/>
      <c r="DY21" s="304"/>
      <c r="DZ21" s="304"/>
      <c r="EA21" s="304"/>
      <c r="EB21" s="304"/>
      <c r="EC21" s="304"/>
      <c r="ED21" s="304"/>
      <c r="EE21" s="304"/>
      <c r="EF21" s="304"/>
      <c r="EG21" s="304"/>
      <c r="EH21" s="304"/>
      <c r="EI21" s="304"/>
      <c r="EJ21" s="304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304"/>
      <c r="FF21" s="304"/>
      <c r="FG21" s="304"/>
      <c r="FH21" s="304"/>
      <c r="FI21" s="304"/>
      <c r="FJ21" s="304"/>
      <c r="FK21" s="304"/>
      <c r="FL21" s="304"/>
      <c r="FM21" s="304"/>
      <c r="FN21" s="304"/>
      <c r="FO21" s="304"/>
      <c r="FP21" s="304"/>
      <c r="FQ21" s="304"/>
      <c r="FR21" s="304"/>
      <c r="FS21" s="304"/>
      <c r="FT21" s="304"/>
      <c r="FU21" s="304"/>
      <c r="FV21" s="304"/>
      <c r="FW21" s="304"/>
      <c r="FX21" s="304"/>
      <c r="FY21" s="304"/>
      <c r="FZ21" s="304"/>
      <c r="GA21" s="304"/>
      <c r="GB21" s="304"/>
      <c r="GC21" s="304"/>
      <c r="GD21" s="304"/>
      <c r="GE21" s="304"/>
      <c r="GF21" s="304"/>
      <c r="GG21" s="304"/>
      <c r="GH21" s="304"/>
      <c r="GI21" s="304"/>
      <c r="GJ21" s="304"/>
      <c r="GK21" s="304"/>
      <c r="GL21" s="304"/>
      <c r="GM21" s="304"/>
      <c r="GN21" s="304"/>
      <c r="GO21" s="304"/>
      <c r="GP21" s="304"/>
      <c r="GQ21" s="304"/>
      <c r="GR21" s="304"/>
      <c r="GS21" s="304"/>
      <c r="GT21" s="304"/>
      <c r="GU21" s="304"/>
      <c r="GV21" s="304"/>
      <c r="GW21" s="304"/>
      <c r="GX21" s="304"/>
      <c r="GY21" s="304"/>
      <c r="GZ21" s="304"/>
      <c r="HA21" s="304"/>
      <c r="HB21" s="304"/>
      <c r="HC21" s="304"/>
      <c r="HD21" s="304"/>
      <c r="HE21" s="304"/>
      <c r="HF21" s="304"/>
      <c r="HG21" s="304"/>
      <c r="HH21" s="304"/>
      <c r="HI21" s="304"/>
      <c r="HJ21" s="304"/>
      <c r="HK21" s="304"/>
      <c r="HL21" s="304"/>
      <c r="HM21" s="304"/>
      <c r="HN21" s="304"/>
      <c r="HO21" s="304"/>
      <c r="HP21" s="304"/>
      <c r="HQ21" s="304"/>
      <c r="HR21" s="304"/>
      <c r="HS21" s="304"/>
      <c r="HT21" s="304"/>
      <c r="HU21" s="304"/>
      <c r="HV21" s="304"/>
      <c r="HW21" s="304"/>
      <c r="HX21" s="304"/>
      <c r="HY21" s="304"/>
      <c r="HZ21" s="304"/>
      <c r="IA21" s="304"/>
      <c r="IB21" s="304"/>
      <c r="IC21" s="304"/>
      <c r="ID21" s="304"/>
    </row>
    <row r="22" s="271" customFormat="1" ht="21.75" customHeight="1" spans="1:238">
      <c r="A22" s="306" t="s">
        <v>26</v>
      </c>
      <c r="B22" s="316">
        <f>SUM(B23:B29)</f>
        <v>18841</v>
      </c>
      <c r="C22" s="316">
        <f>SUM(C23:C29)</f>
        <v>22627</v>
      </c>
      <c r="D22" s="316">
        <f>SUM(D23:D29)</f>
        <v>22197</v>
      </c>
      <c r="E22" s="308">
        <f t="shared" si="0"/>
        <v>98.1</v>
      </c>
      <c r="F22" s="315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304"/>
      <c r="FF22" s="304"/>
      <c r="FG22" s="304"/>
      <c r="FH22" s="304"/>
      <c r="FI22" s="304"/>
      <c r="FJ22" s="304"/>
      <c r="FK22" s="304"/>
      <c r="FL22" s="304"/>
      <c r="FM22" s="304"/>
      <c r="FN22" s="304"/>
      <c r="FO22" s="304"/>
      <c r="FP22" s="304"/>
      <c r="FQ22" s="304"/>
      <c r="FR22" s="304"/>
      <c r="FS22" s="304"/>
      <c r="FT22" s="304"/>
      <c r="FU22" s="304"/>
      <c r="FV22" s="304"/>
      <c r="FW22" s="304"/>
      <c r="FX22" s="304"/>
      <c r="FY22" s="304"/>
      <c r="FZ22" s="304"/>
      <c r="GA22" s="304"/>
      <c r="GB22" s="304"/>
      <c r="GC22" s="304"/>
      <c r="GD22" s="304"/>
      <c r="GE22" s="304"/>
      <c r="GF22" s="304"/>
      <c r="GG22" s="304"/>
      <c r="GH22" s="304"/>
      <c r="GI22" s="304"/>
      <c r="GJ22" s="304"/>
      <c r="GK22" s="304"/>
      <c r="GL22" s="304"/>
      <c r="GM22" s="304"/>
      <c r="GN22" s="304"/>
      <c r="GO22" s="304"/>
      <c r="GP22" s="304"/>
      <c r="GQ22" s="304"/>
      <c r="GR22" s="304"/>
      <c r="GS22" s="304"/>
      <c r="GT22" s="304"/>
      <c r="GU22" s="304"/>
      <c r="GV22" s="304"/>
      <c r="GW22" s="304"/>
      <c r="GX22" s="304"/>
      <c r="GY22" s="304"/>
      <c r="GZ22" s="304"/>
      <c r="HA22" s="304"/>
      <c r="HB22" s="304"/>
      <c r="HC22" s="304"/>
      <c r="HD22" s="304"/>
      <c r="HE22" s="304"/>
      <c r="HF22" s="304"/>
      <c r="HG22" s="304"/>
      <c r="HH22" s="304"/>
      <c r="HI22" s="304"/>
      <c r="HJ22" s="304"/>
      <c r="HK22" s="304"/>
      <c r="HL22" s="304"/>
      <c r="HM22" s="304"/>
      <c r="HN22" s="304"/>
      <c r="HO22" s="304"/>
      <c r="HP22" s="304"/>
      <c r="HQ22" s="304"/>
      <c r="HR22" s="304"/>
      <c r="HS22" s="304"/>
      <c r="HT22" s="304"/>
      <c r="HU22" s="304"/>
      <c r="HV22" s="304"/>
      <c r="HW22" s="304"/>
      <c r="HX22" s="304"/>
      <c r="HY22" s="304"/>
      <c r="HZ22" s="304"/>
      <c r="IA22" s="304"/>
      <c r="IB22" s="304"/>
      <c r="IC22" s="304"/>
      <c r="ID22" s="304"/>
    </row>
    <row r="23" s="271" customFormat="1" ht="21.75" customHeight="1" spans="1:238">
      <c r="A23" s="310" t="s">
        <v>27</v>
      </c>
      <c r="B23" s="317">
        <v>2220</v>
      </c>
      <c r="C23" s="317">
        <v>1840</v>
      </c>
      <c r="D23" s="312">
        <v>2117</v>
      </c>
      <c r="E23" s="308">
        <f t="shared" si="0"/>
        <v>115.05</v>
      </c>
      <c r="F23" s="309">
        <v>-10.94</v>
      </c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4"/>
      <c r="CB23" s="304"/>
      <c r="CC23" s="304"/>
      <c r="CD23" s="304"/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304"/>
      <c r="FF23" s="304"/>
      <c r="FG23" s="304"/>
      <c r="FH23" s="304"/>
      <c r="FI23" s="304"/>
      <c r="FJ23" s="304"/>
      <c r="FK23" s="304"/>
      <c r="FL23" s="304"/>
      <c r="FM23" s="304"/>
      <c r="FN23" s="304"/>
      <c r="FO23" s="304"/>
      <c r="FP23" s="304"/>
      <c r="FQ23" s="304"/>
      <c r="FR23" s="304"/>
      <c r="FS23" s="304"/>
      <c r="FT23" s="304"/>
      <c r="FU23" s="304"/>
      <c r="FV23" s="304"/>
      <c r="FW23" s="304"/>
      <c r="FX23" s="304"/>
      <c r="FY23" s="304"/>
      <c r="FZ23" s="304"/>
      <c r="GA23" s="304"/>
      <c r="GB23" s="304"/>
      <c r="GC23" s="304"/>
      <c r="GD23" s="304"/>
      <c r="GE23" s="304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</row>
    <row r="24" s="271" customFormat="1" ht="21.75" customHeight="1" spans="1:238">
      <c r="A24" s="318" t="s">
        <v>28</v>
      </c>
      <c r="B24" s="317">
        <v>5835</v>
      </c>
      <c r="C24" s="317">
        <v>5058</v>
      </c>
      <c r="D24" s="312">
        <v>5632</v>
      </c>
      <c r="E24" s="308">
        <f t="shared" si="0"/>
        <v>111.35</v>
      </c>
      <c r="F24" s="309">
        <v>40.59</v>
      </c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304"/>
      <c r="FF24" s="304"/>
      <c r="FG24" s="304"/>
      <c r="FH24" s="304"/>
      <c r="FI24" s="304"/>
      <c r="FJ24" s="304"/>
      <c r="FK24" s="304"/>
      <c r="FL24" s="304"/>
      <c r="FM24" s="304"/>
      <c r="FN24" s="304"/>
      <c r="FO24" s="304"/>
      <c r="FP24" s="304"/>
      <c r="FQ24" s="304"/>
      <c r="FR24" s="304"/>
      <c r="FS24" s="304"/>
      <c r="FT24" s="304"/>
      <c r="FU24" s="304"/>
      <c r="FV24" s="304"/>
      <c r="FW24" s="304"/>
      <c r="FX24" s="304"/>
      <c r="FY24" s="304"/>
      <c r="FZ24" s="304"/>
      <c r="GA24" s="304"/>
      <c r="GB24" s="304"/>
      <c r="GC24" s="304"/>
      <c r="GD24" s="304"/>
      <c r="GE24" s="304"/>
      <c r="GF24" s="304"/>
      <c r="GG24" s="304"/>
      <c r="GH24" s="304"/>
      <c r="GI24" s="304"/>
      <c r="GJ24" s="304"/>
      <c r="GK24" s="304"/>
      <c r="GL24" s="304"/>
      <c r="GM24" s="304"/>
      <c r="GN24" s="304"/>
      <c r="GO24" s="304"/>
      <c r="GP24" s="304"/>
      <c r="GQ24" s="304"/>
      <c r="GR24" s="304"/>
      <c r="GS24" s="304"/>
      <c r="GT24" s="304"/>
      <c r="GU24" s="304"/>
      <c r="GV24" s="304"/>
      <c r="GW24" s="304"/>
      <c r="GX24" s="304"/>
      <c r="GY24" s="304"/>
      <c r="GZ24" s="304"/>
      <c r="HA24" s="304"/>
      <c r="HB24" s="304"/>
      <c r="HC24" s="304"/>
      <c r="HD24" s="304"/>
      <c r="HE24" s="304"/>
      <c r="HF24" s="304"/>
      <c r="HG24" s="304"/>
      <c r="HH24" s="304"/>
      <c r="HI24" s="304"/>
      <c r="HJ24" s="304"/>
      <c r="HK24" s="304"/>
      <c r="HL24" s="304"/>
      <c r="HM24" s="304"/>
      <c r="HN24" s="304"/>
      <c r="HO24" s="304"/>
      <c r="HP24" s="304"/>
      <c r="HQ24" s="304"/>
      <c r="HR24" s="304"/>
      <c r="HS24" s="304"/>
      <c r="HT24" s="304"/>
      <c r="HU24" s="304"/>
      <c r="HV24" s="304"/>
      <c r="HW24" s="304"/>
      <c r="HX24" s="304"/>
      <c r="HY24" s="304"/>
      <c r="HZ24" s="304"/>
      <c r="IA24" s="304"/>
      <c r="IB24" s="304"/>
      <c r="IC24" s="304"/>
      <c r="ID24" s="304"/>
    </row>
    <row r="25" s="271" customFormat="1" ht="21.75" customHeight="1" spans="1:238">
      <c r="A25" s="319" t="s">
        <v>29</v>
      </c>
      <c r="B25" s="317">
        <v>4077</v>
      </c>
      <c r="C25" s="317">
        <v>4514</v>
      </c>
      <c r="D25" s="312">
        <v>5097</v>
      </c>
      <c r="E25" s="308">
        <f t="shared" si="0"/>
        <v>112.92</v>
      </c>
      <c r="F25" s="309">
        <v>64.53</v>
      </c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4"/>
      <c r="CB25" s="304"/>
      <c r="CC25" s="304"/>
      <c r="CD25" s="304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304"/>
      <c r="FF25" s="304"/>
      <c r="FG25" s="304"/>
      <c r="FH25" s="304"/>
      <c r="FI25" s="304"/>
      <c r="FJ25" s="304"/>
      <c r="FK25" s="304"/>
      <c r="FL25" s="304"/>
      <c r="FM25" s="304"/>
      <c r="FN25" s="304"/>
      <c r="FO25" s="304"/>
      <c r="FP25" s="304"/>
      <c r="FQ25" s="304"/>
      <c r="FR25" s="304"/>
      <c r="FS25" s="304"/>
      <c r="FT25" s="304"/>
      <c r="FU25" s="304"/>
      <c r="FV25" s="304"/>
      <c r="FW25" s="304"/>
      <c r="FX25" s="304"/>
      <c r="FY25" s="304"/>
      <c r="FZ25" s="304"/>
      <c r="GA25" s="304"/>
      <c r="GB25" s="304"/>
      <c r="GC25" s="304"/>
      <c r="GD25" s="304"/>
      <c r="GE25" s="304"/>
      <c r="GF25" s="304"/>
      <c r="GG25" s="304"/>
      <c r="GH25" s="304"/>
      <c r="GI25" s="304"/>
      <c r="GJ25" s="304"/>
      <c r="GK25" s="304"/>
      <c r="GL25" s="304"/>
      <c r="GM25" s="304"/>
      <c r="GN25" s="304"/>
      <c r="GO25" s="304"/>
      <c r="GP25" s="304"/>
      <c r="GQ25" s="304"/>
      <c r="GR25" s="304"/>
      <c r="GS25" s="304"/>
      <c r="GT25" s="304"/>
      <c r="GU25" s="304"/>
      <c r="GV25" s="304"/>
      <c r="GW25" s="304"/>
      <c r="GX25" s="304"/>
      <c r="GY25" s="304"/>
      <c r="GZ25" s="304"/>
      <c r="HA25" s="304"/>
      <c r="HB25" s="304"/>
      <c r="HC25" s="304"/>
      <c r="HD25" s="304"/>
      <c r="HE25" s="304"/>
      <c r="HF25" s="304"/>
      <c r="HG25" s="304"/>
      <c r="HH25" s="304"/>
      <c r="HI25" s="304"/>
      <c r="HJ25" s="304"/>
      <c r="HK25" s="304"/>
      <c r="HL25" s="304"/>
      <c r="HM25" s="304"/>
      <c r="HN25" s="304"/>
      <c r="HO25" s="304"/>
      <c r="HP25" s="304"/>
      <c r="HQ25" s="304"/>
      <c r="HR25" s="304"/>
      <c r="HS25" s="304"/>
      <c r="HT25" s="304"/>
      <c r="HU25" s="304"/>
      <c r="HV25" s="304"/>
      <c r="HW25" s="304"/>
      <c r="HX25" s="304"/>
      <c r="HY25" s="304"/>
      <c r="HZ25" s="304"/>
      <c r="IA25" s="304"/>
      <c r="IB25" s="304"/>
      <c r="IC25" s="304"/>
      <c r="ID25" s="304"/>
    </row>
    <row r="26" s="271" customFormat="1" ht="21.75" customHeight="1" spans="1:238">
      <c r="A26" s="320" t="s">
        <v>30</v>
      </c>
      <c r="B26" s="317">
        <v>1832</v>
      </c>
      <c r="C26" s="317">
        <v>2159</v>
      </c>
      <c r="D26" s="312">
        <v>2165</v>
      </c>
      <c r="E26" s="308">
        <f t="shared" si="0"/>
        <v>100.28</v>
      </c>
      <c r="F26" s="309">
        <v>2.85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4"/>
      <c r="BQ26" s="304"/>
      <c r="BR26" s="304"/>
      <c r="BS26" s="304"/>
      <c r="BT26" s="304"/>
      <c r="BU26" s="304"/>
      <c r="BV26" s="304"/>
      <c r="BW26" s="304"/>
      <c r="BX26" s="304"/>
      <c r="BY26" s="304"/>
      <c r="BZ26" s="304"/>
      <c r="CA26" s="304"/>
      <c r="CB26" s="304"/>
      <c r="CC26" s="304"/>
      <c r="CD26" s="304"/>
      <c r="CE26" s="304"/>
      <c r="CF26" s="304"/>
      <c r="CG26" s="304"/>
      <c r="CH26" s="304"/>
      <c r="CI26" s="304"/>
      <c r="CJ26" s="304"/>
      <c r="CK26" s="304"/>
      <c r="CL26" s="304"/>
      <c r="CM26" s="304"/>
      <c r="CN26" s="304"/>
      <c r="CO26" s="304"/>
      <c r="CP26" s="304"/>
      <c r="CQ26" s="304"/>
      <c r="CR26" s="304"/>
      <c r="CS26" s="304"/>
      <c r="CT26" s="304"/>
      <c r="CU26" s="304"/>
      <c r="CV26" s="304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4"/>
      <c r="FF26" s="304"/>
      <c r="FG26" s="304"/>
      <c r="FH26" s="304"/>
      <c r="FI26" s="304"/>
      <c r="FJ26" s="304"/>
      <c r="FK26" s="304"/>
      <c r="FL26" s="304"/>
      <c r="FM26" s="304"/>
      <c r="FN26" s="304"/>
      <c r="FO26" s="304"/>
      <c r="FP26" s="304"/>
      <c r="FQ26" s="304"/>
      <c r="FR26" s="304"/>
      <c r="FS26" s="304"/>
      <c r="FT26" s="304"/>
      <c r="FU26" s="304"/>
      <c r="FV26" s="304"/>
      <c r="FW26" s="304"/>
      <c r="FX26" s="304"/>
      <c r="FY26" s="304"/>
      <c r="FZ26" s="304"/>
      <c r="GA26" s="304"/>
      <c r="GB26" s="304"/>
      <c r="GC26" s="304"/>
      <c r="GD26" s="304"/>
      <c r="GE26" s="304"/>
      <c r="GF26" s="304"/>
      <c r="GG26" s="304"/>
      <c r="GH26" s="304"/>
      <c r="GI26" s="304"/>
      <c r="GJ26" s="304"/>
      <c r="GK26" s="304"/>
      <c r="GL26" s="304"/>
      <c r="GM26" s="304"/>
      <c r="GN26" s="304"/>
      <c r="GO26" s="304"/>
      <c r="GP26" s="304"/>
      <c r="GQ26" s="304"/>
      <c r="GR26" s="304"/>
      <c r="GS26" s="304"/>
      <c r="GT26" s="304"/>
      <c r="GU26" s="304"/>
      <c r="GV26" s="304"/>
      <c r="GW26" s="304"/>
      <c r="GX26" s="304"/>
      <c r="GY26" s="304"/>
      <c r="GZ26" s="304"/>
      <c r="HA26" s="304"/>
      <c r="HB26" s="304"/>
      <c r="HC26" s="304"/>
      <c r="HD26" s="304"/>
      <c r="HE26" s="304"/>
      <c r="HF26" s="304"/>
      <c r="HG26" s="304"/>
      <c r="HH26" s="304"/>
      <c r="HI26" s="304"/>
      <c r="HJ26" s="304"/>
      <c r="HK26" s="304"/>
      <c r="HL26" s="304"/>
      <c r="HM26" s="304"/>
      <c r="HN26" s="304"/>
      <c r="HO26" s="304"/>
      <c r="HP26" s="304"/>
      <c r="HQ26" s="304"/>
      <c r="HR26" s="304"/>
      <c r="HS26" s="304"/>
      <c r="HT26" s="304"/>
      <c r="HU26" s="304"/>
      <c r="HV26" s="304"/>
      <c r="HW26" s="304"/>
      <c r="HX26" s="304"/>
      <c r="HY26" s="304"/>
      <c r="HZ26" s="304"/>
      <c r="IA26" s="304"/>
      <c r="IB26" s="304"/>
      <c r="IC26" s="304"/>
      <c r="ID26" s="304"/>
    </row>
    <row r="27" s="271" customFormat="1" ht="21.75" customHeight="1" spans="1:238">
      <c r="A27" s="319" t="s">
        <v>31</v>
      </c>
      <c r="B27" s="317"/>
      <c r="C27" s="317"/>
      <c r="D27" s="312">
        <v>30</v>
      </c>
      <c r="E27" s="308"/>
      <c r="F27" s="309">
        <v>-74.58</v>
      </c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4"/>
      <c r="BQ27" s="304"/>
      <c r="BR27" s="304"/>
      <c r="BS27" s="304"/>
      <c r="BT27" s="304"/>
      <c r="BU27" s="304"/>
      <c r="BV27" s="304"/>
      <c r="BW27" s="304"/>
      <c r="BX27" s="304"/>
      <c r="BY27" s="304"/>
      <c r="BZ27" s="304"/>
      <c r="CA27" s="304"/>
      <c r="CB27" s="304"/>
      <c r="CC27" s="304"/>
      <c r="CD27" s="304"/>
      <c r="CE27" s="304"/>
      <c r="CF27" s="304"/>
      <c r="CG27" s="304"/>
      <c r="CH27" s="304"/>
      <c r="CI27" s="304"/>
      <c r="CJ27" s="304"/>
      <c r="CK27" s="304"/>
      <c r="CL27" s="304"/>
      <c r="CM27" s="304"/>
      <c r="CN27" s="304"/>
      <c r="CO27" s="304"/>
      <c r="CP27" s="304"/>
      <c r="CQ27" s="304"/>
      <c r="CR27" s="304"/>
      <c r="CS27" s="304"/>
      <c r="CT27" s="304"/>
      <c r="CU27" s="304"/>
      <c r="CV27" s="304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304"/>
      <c r="FF27" s="304"/>
      <c r="FG27" s="304"/>
      <c r="FH27" s="304"/>
      <c r="FI27" s="304"/>
      <c r="FJ27" s="304"/>
      <c r="FK27" s="304"/>
      <c r="FL27" s="304"/>
      <c r="FM27" s="304"/>
      <c r="FN27" s="304"/>
      <c r="FO27" s="304"/>
      <c r="FP27" s="304"/>
      <c r="FQ27" s="304"/>
      <c r="FR27" s="304"/>
      <c r="FS27" s="304"/>
      <c r="FT27" s="304"/>
      <c r="FU27" s="304"/>
      <c r="FV27" s="304"/>
      <c r="FW27" s="304"/>
      <c r="FX27" s="304"/>
      <c r="FY27" s="304"/>
      <c r="FZ27" s="304"/>
      <c r="GA27" s="304"/>
      <c r="GB27" s="304"/>
      <c r="GC27" s="304"/>
      <c r="GD27" s="304"/>
      <c r="GE27" s="304"/>
      <c r="GF27" s="304"/>
      <c r="GG27" s="304"/>
      <c r="GH27" s="304"/>
      <c r="GI27" s="304"/>
      <c r="GJ27" s="304"/>
      <c r="GK27" s="304"/>
      <c r="GL27" s="304"/>
      <c r="GM27" s="304"/>
      <c r="GN27" s="304"/>
      <c r="GO27" s="304"/>
      <c r="GP27" s="304"/>
      <c r="GQ27" s="304"/>
      <c r="GR27" s="304"/>
      <c r="GS27" s="304"/>
      <c r="GT27" s="304"/>
      <c r="GU27" s="304"/>
      <c r="GV27" s="304"/>
      <c r="GW27" s="304"/>
      <c r="GX27" s="304"/>
      <c r="GY27" s="304"/>
      <c r="GZ27" s="304"/>
      <c r="HA27" s="304"/>
      <c r="HB27" s="304"/>
      <c r="HC27" s="304"/>
      <c r="HD27" s="304"/>
      <c r="HE27" s="304"/>
      <c r="HF27" s="304"/>
      <c r="HG27" s="304"/>
      <c r="HH27" s="304"/>
      <c r="HI27" s="304"/>
      <c r="HJ27" s="304"/>
      <c r="HK27" s="304"/>
      <c r="HL27" s="304"/>
      <c r="HM27" s="304"/>
      <c r="HN27" s="304"/>
      <c r="HO27" s="304"/>
      <c r="HP27" s="304"/>
      <c r="HQ27" s="304"/>
      <c r="HR27" s="304"/>
      <c r="HS27" s="304"/>
      <c r="HT27" s="304"/>
      <c r="HU27" s="304"/>
      <c r="HV27" s="304"/>
      <c r="HW27" s="304"/>
      <c r="HX27" s="304"/>
      <c r="HY27" s="304"/>
      <c r="HZ27" s="304"/>
      <c r="IA27" s="304"/>
      <c r="IB27" s="304"/>
      <c r="IC27" s="304"/>
      <c r="ID27" s="304"/>
    </row>
    <row r="28" s="271" customFormat="1" ht="21.75" customHeight="1" spans="1:238">
      <c r="A28" s="319" t="s">
        <v>32</v>
      </c>
      <c r="B28" s="317"/>
      <c r="C28" s="317"/>
      <c r="D28" s="312"/>
      <c r="E28" s="308"/>
      <c r="F28" s="309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4"/>
      <c r="BQ28" s="304"/>
      <c r="BR28" s="304"/>
      <c r="BS28" s="304"/>
      <c r="BT28" s="304"/>
      <c r="BU28" s="304"/>
      <c r="BV28" s="304"/>
      <c r="BW28" s="304"/>
      <c r="BX28" s="304"/>
      <c r="BY28" s="304"/>
      <c r="BZ28" s="304"/>
      <c r="CA28" s="304"/>
      <c r="CB28" s="304"/>
      <c r="CC28" s="304"/>
      <c r="CD28" s="304"/>
      <c r="CE28" s="304"/>
      <c r="CF28" s="304"/>
      <c r="CG28" s="304"/>
      <c r="CH28" s="304"/>
      <c r="CI28" s="304"/>
      <c r="CJ28" s="304"/>
      <c r="CK28" s="304"/>
      <c r="CL28" s="304"/>
      <c r="CM28" s="304"/>
      <c r="CN28" s="304"/>
      <c r="CO28" s="304"/>
      <c r="CP28" s="304"/>
      <c r="CQ28" s="304"/>
      <c r="CR28" s="304"/>
      <c r="CS28" s="304"/>
      <c r="CT28" s="304"/>
      <c r="CU28" s="304"/>
      <c r="CV28" s="304"/>
      <c r="CW28" s="304"/>
      <c r="CX28" s="304"/>
      <c r="CY28" s="304"/>
      <c r="CZ28" s="304"/>
      <c r="DA28" s="304"/>
      <c r="DB28" s="304"/>
      <c r="DC28" s="304"/>
      <c r="DD28" s="304"/>
      <c r="DE28" s="304"/>
      <c r="DF28" s="304"/>
      <c r="DG28" s="304"/>
      <c r="DH28" s="304"/>
      <c r="DI28" s="304"/>
      <c r="DJ28" s="304"/>
      <c r="DK28" s="304"/>
      <c r="DL28" s="304"/>
      <c r="DM28" s="304"/>
      <c r="DN28" s="304"/>
      <c r="DO28" s="304"/>
      <c r="DP28" s="304"/>
      <c r="DQ28" s="304"/>
      <c r="DR28" s="304"/>
      <c r="DS28" s="304"/>
      <c r="DT28" s="304"/>
      <c r="DU28" s="304"/>
      <c r="DV28" s="304"/>
      <c r="DW28" s="304"/>
      <c r="DX28" s="304"/>
      <c r="DY28" s="304"/>
      <c r="DZ28" s="304"/>
      <c r="EA28" s="304"/>
      <c r="EB28" s="304"/>
      <c r="EC28" s="304"/>
      <c r="ED28" s="304"/>
      <c r="EE28" s="304"/>
      <c r="EF28" s="304"/>
      <c r="EG28" s="304"/>
      <c r="EH28" s="304"/>
      <c r="EI28" s="304"/>
      <c r="EJ28" s="304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304"/>
      <c r="FF28" s="304"/>
      <c r="FG28" s="304"/>
      <c r="FH28" s="304"/>
      <c r="FI28" s="304"/>
      <c r="FJ28" s="304"/>
      <c r="FK28" s="304"/>
      <c r="FL28" s="304"/>
      <c r="FM28" s="304"/>
      <c r="FN28" s="304"/>
      <c r="FO28" s="304"/>
      <c r="FP28" s="304"/>
      <c r="FQ28" s="304"/>
      <c r="FR28" s="304"/>
      <c r="FS28" s="304"/>
      <c r="FT28" s="304"/>
      <c r="FU28" s="304"/>
      <c r="FV28" s="304"/>
      <c r="FW28" s="304"/>
      <c r="FX28" s="304"/>
      <c r="FY28" s="304"/>
      <c r="FZ28" s="304"/>
      <c r="GA28" s="304"/>
      <c r="GB28" s="304"/>
      <c r="GC28" s="304"/>
      <c r="GD28" s="304"/>
      <c r="GE28" s="304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</row>
    <row r="29" s="271" customFormat="1" ht="21.75" customHeight="1" spans="1:238">
      <c r="A29" s="319" t="s">
        <v>33</v>
      </c>
      <c r="B29" s="317">
        <v>4877</v>
      </c>
      <c r="C29" s="317">
        <v>9056</v>
      </c>
      <c r="D29" s="312">
        <v>7156</v>
      </c>
      <c r="E29" s="308">
        <f t="shared" si="0"/>
        <v>79.02</v>
      </c>
      <c r="F29" s="309">
        <v>-12.27</v>
      </c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4"/>
      <c r="BQ29" s="304"/>
      <c r="BR29" s="304"/>
      <c r="BS29" s="304"/>
      <c r="BT29" s="304"/>
      <c r="BU29" s="304"/>
      <c r="BV29" s="304"/>
      <c r="BW29" s="304"/>
      <c r="BX29" s="304"/>
      <c r="BY29" s="304"/>
      <c r="BZ29" s="304"/>
      <c r="CA29" s="304"/>
      <c r="CB29" s="304"/>
      <c r="CC29" s="304"/>
      <c r="CD29" s="304"/>
      <c r="CE29" s="304"/>
      <c r="CF29" s="304"/>
      <c r="CG29" s="304"/>
      <c r="CH29" s="304"/>
      <c r="CI29" s="304"/>
      <c r="CJ29" s="304"/>
      <c r="CK29" s="304"/>
      <c r="CL29" s="304"/>
      <c r="CM29" s="304"/>
      <c r="CN29" s="304"/>
      <c r="CO29" s="304"/>
      <c r="CP29" s="304"/>
      <c r="CQ29" s="304"/>
      <c r="CR29" s="304"/>
      <c r="CS29" s="304"/>
      <c r="CT29" s="304"/>
      <c r="CU29" s="304"/>
      <c r="CV29" s="304"/>
      <c r="CW29" s="304"/>
      <c r="CX29" s="304"/>
      <c r="CY29" s="304"/>
      <c r="CZ29" s="304"/>
      <c r="DA29" s="304"/>
      <c r="DB29" s="304"/>
      <c r="DC29" s="304"/>
      <c r="DD29" s="304"/>
      <c r="DE29" s="304"/>
      <c r="DF29" s="304"/>
      <c r="DG29" s="304"/>
      <c r="DH29" s="304"/>
      <c r="DI29" s="304"/>
      <c r="DJ29" s="304"/>
      <c r="DK29" s="304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4"/>
      <c r="EF29" s="304"/>
      <c r="EG29" s="304"/>
      <c r="EH29" s="304"/>
      <c r="EI29" s="304"/>
      <c r="EJ29" s="304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4"/>
      <c r="FF29" s="304"/>
      <c r="FG29" s="304"/>
      <c r="FH29" s="304"/>
      <c r="FI29" s="304"/>
      <c r="FJ29" s="304"/>
      <c r="FK29" s="304"/>
      <c r="FL29" s="304"/>
      <c r="FM29" s="304"/>
      <c r="FN29" s="304"/>
      <c r="FO29" s="304"/>
      <c r="FP29" s="304"/>
      <c r="FQ29" s="304"/>
      <c r="FR29" s="304"/>
      <c r="FS29" s="304"/>
      <c r="FT29" s="304"/>
      <c r="FU29" s="304"/>
      <c r="FV29" s="304"/>
      <c r="FW29" s="304"/>
      <c r="FX29" s="304"/>
      <c r="FY29" s="304"/>
      <c r="FZ29" s="304"/>
      <c r="GA29" s="304"/>
      <c r="GB29" s="304"/>
      <c r="GC29" s="304"/>
      <c r="GD29" s="304"/>
      <c r="GE29" s="304"/>
      <c r="GF29" s="304"/>
      <c r="GG29" s="304"/>
      <c r="GH29" s="304"/>
      <c r="GI29" s="304"/>
      <c r="GJ29" s="304"/>
      <c r="GK29" s="304"/>
      <c r="GL29" s="304"/>
      <c r="GM29" s="304"/>
      <c r="GN29" s="304"/>
      <c r="GO29" s="304"/>
      <c r="GP29" s="304"/>
      <c r="GQ29" s="304"/>
      <c r="GR29" s="304"/>
      <c r="GS29" s="304"/>
      <c r="GT29" s="304"/>
      <c r="GU29" s="304"/>
      <c r="GV29" s="304"/>
      <c r="GW29" s="304"/>
      <c r="GX29" s="304"/>
      <c r="GY29" s="304"/>
      <c r="GZ29" s="304"/>
      <c r="HA29" s="304"/>
      <c r="HB29" s="304"/>
      <c r="HC29" s="304"/>
      <c r="HD29" s="304"/>
      <c r="HE29" s="304"/>
      <c r="HF29" s="304"/>
      <c r="HG29" s="304"/>
      <c r="HH29" s="304"/>
      <c r="HI29" s="304"/>
      <c r="HJ29" s="304"/>
      <c r="HK29" s="304"/>
      <c r="HL29" s="304"/>
      <c r="HM29" s="304"/>
      <c r="HN29" s="304"/>
      <c r="HO29" s="304"/>
      <c r="HP29" s="304"/>
      <c r="HQ29" s="304"/>
      <c r="HR29" s="304"/>
      <c r="HS29" s="304"/>
      <c r="HT29" s="304"/>
      <c r="HU29" s="304"/>
      <c r="HV29" s="304"/>
      <c r="HW29" s="304"/>
      <c r="HX29" s="304"/>
      <c r="HY29" s="304"/>
      <c r="HZ29" s="304"/>
      <c r="IA29" s="304"/>
      <c r="IB29" s="304"/>
      <c r="IC29" s="304"/>
      <c r="ID29" s="304"/>
    </row>
    <row r="30" s="271" customFormat="1" ht="21.75" customHeight="1" spans="1:238">
      <c r="A30" s="310"/>
      <c r="B30" s="321"/>
      <c r="C30" s="321"/>
      <c r="D30" s="321"/>
      <c r="E30" s="322"/>
      <c r="F30" s="315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4"/>
      <c r="CJ30" s="304"/>
      <c r="CK30" s="304"/>
      <c r="CL30" s="304"/>
      <c r="CM30" s="304"/>
      <c r="CN30" s="304"/>
      <c r="CO30" s="304"/>
      <c r="CP30" s="304"/>
      <c r="CQ30" s="304"/>
      <c r="CR30" s="304"/>
      <c r="CS30" s="304"/>
      <c r="CT30" s="304"/>
      <c r="CU30" s="304"/>
      <c r="CV30" s="304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04"/>
      <c r="FL30" s="304"/>
      <c r="FM30" s="304"/>
      <c r="FN30" s="304"/>
      <c r="FO30" s="304"/>
      <c r="FP30" s="304"/>
      <c r="FQ30" s="304"/>
      <c r="FR30" s="304"/>
      <c r="FS30" s="304"/>
      <c r="FT30" s="304"/>
      <c r="FU30" s="304"/>
      <c r="FV30" s="304"/>
      <c r="FW30" s="304"/>
      <c r="FX30" s="304"/>
      <c r="FY30" s="304"/>
      <c r="FZ30" s="304"/>
      <c r="GA30" s="304"/>
      <c r="GB30" s="304"/>
      <c r="GC30" s="304"/>
      <c r="GD30" s="304"/>
      <c r="GE30" s="304"/>
      <c r="GF30" s="304"/>
      <c r="GG30" s="304"/>
      <c r="GH30" s="304"/>
      <c r="GI30" s="304"/>
      <c r="GJ30" s="304"/>
      <c r="GK30" s="304"/>
      <c r="GL30" s="304"/>
      <c r="GM30" s="304"/>
      <c r="GN30" s="304"/>
      <c r="GO30" s="304"/>
      <c r="GP30" s="304"/>
      <c r="GQ30" s="304"/>
      <c r="GR30" s="304"/>
      <c r="GS30" s="304"/>
      <c r="GT30" s="304"/>
      <c r="GU30" s="304"/>
      <c r="GV30" s="304"/>
      <c r="GW30" s="304"/>
      <c r="GX30" s="304"/>
      <c r="GY30" s="304"/>
      <c r="GZ30" s="304"/>
      <c r="HA30" s="304"/>
      <c r="HB30" s="304"/>
      <c r="HC30" s="304"/>
      <c r="HD30" s="304"/>
      <c r="HE30" s="304"/>
      <c r="HF30" s="304"/>
      <c r="HG30" s="304"/>
      <c r="HH30" s="304"/>
      <c r="HI30" s="304"/>
      <c r="HJ30" s="304"/>
      <c r="HK30" s="304"/>
      <c r="HL30" s="304"/>
      <c r="HM30" s="304"/>
      <c r="HN30" s="304"/>
      <c r="HO30" s="304"/>
      <c r="HP30" s="304"/>
      <c r="HQ30" s="304"/>
      <c r="HR30" s="304"/>
      <c r="HS30" s="304"/>
      <c r="HT30" s="304"/>
      <c r="HU30" s="304"/>
      <c r="HV30" s="304"/>
      <c r="HW30" s="304"/>
      <c r="HX30" s="304"/>
      <c r="HY30" s="304"/>
      <c r="HZ30" s="304"/>
      <c r="IA30" s="304"/>
      <c r="IB30" s="304"/>
      <c r="IC30" s="304"/>
      <c r="ID30" s="304"/>
    </row>
    <row r="31" s="272" customFormat="1" ht="21.75" customHeight="1" spans="1:238">
      <c r="A31" s="323" t="s">
        <v>34</v>
      </c>
      <c r="B31" s="324">
        <f>B22+B5</f>
        <v>47103</v>
      </c>
      <c r="C31" s="324">
        <f>C22+C5</f>
        <v>46227</v>
      </c>
      <c r="D31" s="324">
        <f>D22+D5</f>
        <v>46240</v>
      </c>
      <c r="E31" s="325">
        <f t="shared" si="0"/>
        <v>100.03</v>
      </c>
      <c r="F31" s="315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  <c r="DN31" s="326"/>
      <c r="DO31" s="326"/>
      <c r="DP31" s="326"/>
      <c r="DQ31" s="326"/>
      <c r="DR31" s="326"/>
      <c r="DS31" s="326"/>
      <c r="DT31" s="326"/>
      <c r="DU31" s="326"/>
      <c r="DV31" s="326"/>
      <c r="DW31" s="326"/>
      <c r="DX31" s="326"/>
      <c r="DY31" s="326"/>
      <c r="DZ31" s="326"/>
      <c r="EA31" s="326"/>
      <c r="EB31" s="326"/>
      <c r="EC31" s="326"/>
      <c r="ED31" s="326"/>
      <c r="EE31" s="326"/>
      <c r="EF31" s="326"/>
      <c r="EG31" s="326"/>
      <c r="EH31" s="326"/>
      <c r="EI31" s="326"/>
      <c r="EJ31" s="326"/>
      <c r="EK31" s="326"/>
      <c r="EL31" s="326"/>
      <c r="EM31" s="326"/>
      <c r="EN31" s="326"/>
      <c r="EO31" s="326"/>
      <c r="EP31" s="326"/>
      <c r="EQ31" s="326"/>
      <c r="ER31" s="326"/>
      <c r="ES31" s="326"/>
      <c r="ET31" s="326"/>
      <c r="EU31" s="326"/>
      <c r="EV31" s="326"/>
      <c r="EW31" s="326"/>
      <c r="EX31" s="326"/>
      <c r="EY31" s="326"/>
      <c r="EZ31" s="326"/>
      <c r="FA31" s="326"/>
      <c r="FB31" s="326"/>
      <c r="FC31" s="326"/>
      <c r="FD31" s="326"/>
      <c r="FE31" s="326"/>
      <c r="FF31" s="326"/>
      <c r="FG31" s="326"/>
      <c r="FH31" s="326"/>
      <c r="FI31" s="326"/>
      <c r="FJ31" s="326"/>
      <c r="FK31" s="326"/>
      <c r="FL31" s="326"/>
      <c r="FM31" s="326"/>
      <c r="FN31" s="326"/>
      <c r="FO31" s="326"/>
      <c r="FP31" s="326"/>
      <c r="FQ31" s="326"/>
      <c r="FR31" s="326"/>
      <c r="FS31" s="326"/>
      <c r="FT31" s="326"/>
      <c r="FU31" s="326"/>
      <c r="FV31" s="326"/>
      <c r="FW31" s="326"/>
      <c r="FX31" s="326"/>
      <c r="FY31" s="326"/>
      <c r="FZ31" s="326"/>
      <c r="GA31" s="326"/>
      <c r="GB31" s="326"/>
      <c r="GC31" s="326"/>
      <c r="GD31" s="326"/>
      <c r="GE31" s="326"/>
      <c r="GF31" s="326"/>
      <c r="GG31" s="326"/>
      <c r="GH31" s="326"/>
      <c r="GI31" s="326"/>
      <c r="GJ31" s="326"/>
      <c r="GK31" s="326"/>
      <c r="GL31" s="326"/>
      <c r="GM31" s="326"/>
      <c r="GN31" s="326"/>
      <c r="GO31" s="326"/>
      <c r="GP31" s="326"/>
      <c r="GQ31" s="326"/>
      <c r="GR31" s="326"/>
      <c r="GS31" s="326"/>
      <c r="GT31" s="326"/>
      <c r="GU31" s="326"/>
      <c r="GV31" s="326"/>
      <c r="GW31" s="326"/>
      <c r="GX31" s="326"/>
      <c r="GY31" s="326"/>
      <c r="GZ31" s="326"/>
      <c r="HA31" s="326"/>
      <c r="HB31" s="326"/>
      <c r="HC31" s="326"/>
      <c r="HD31" s="326"/>
      <c r="HE31" s="326"/>
      <c r="HF31" s="326"/>
      <c r="HG31" s="326"/>
      <c r="HH31" s="326"/>
      <c r="HI31" s="326"/>
      <c r="HJ31" s="326"/>
      <c r="HK31" s="326"/>
      <c r="HL31" s="326"/>
      <c r="HM31" s="326"/>
      <c r="HN31" s="326"/>
      <c r="HO31" s="326"/>
      <c r="HP31" s="326"/>
      <c r="HQ31" s="326"/>
      <c r="HR31" s="326"/>
      <c r="HS31" s="326"/>
      <c r="HT31" s="326"/>
      <c r="HU31" s="326"/>
      <c r="HV31" s="326"/>
      <c r="HW31" s="326"/>
      <c r="HX31" s="326"/>
      <c r="HY31" s="326"/>
      <c r="HZ31" s="326"/>
      <c r="IA31" s="326"/>
      <c r="IB31" s="326"/>
      <c r="IC31" s="326"/>
      <c r="ID31" s="326"/>
    </row>
  </sheetData>
  <mergeCells count="2">
    <mergeCell ref="A2:F2"/>
    <mergeCell ref="E3:F3"/>
  </mergeCells>
  <dataValidations count="3">
    <dataValidation type="whole" operator="between" allowBlank="1" showInputMessage="1" showErrorMessage="1" error="请输入整数" sqref="B31:D31">
      <formula1>1</formula1>
      <formula2>100000000000</formula2>
    </dataValidation>
    <dataValidation type="decimal" operator="between" allowBlank="1" showInputMessage="1" showErrorMessage="1" prompt="请不要输入百分号" sqref="F5:F31">
      <formula1>-1000000</formula1>
      <formula2>1000000</formula2>
    </dataValidation>
    <dataValidation type="whole" operator="between" allowBlank="1" showInputMessage="1" showErrorMessage="1" error="请输入整数" sqref="B6:D30">
      <formula1>-10000000</formula1>
      <formula2>100000000000</formula2>
    </dataValidation>
  </dataValidations>
  <pageMargins left="0.904861111111111" right="0.904861111111111" top="0.984027777777778" bottom="0.747916666666667" header="0.314583333333333" footer="0.314583333333333"/>
  <pageSetup paperSize="9" orientation="portrait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78"/>
  <sheetViews>
    <sheetView showZeros="0" workbookViewId="0">
      <selection activeCell="G12" sqref="G12"/>
    </sheetView>
  </sheetViews>
  <sheetFormatPr defaultColWidth="9" defaultRowHeight="13.5" outlineLevelCol="2"/>
  <cols>
    <col min="1" max="1" width="51.625" style="189" customWidth="1"/>
    <col min="2" max="2" width="23.875" style="190" customWidth="1"/>
    <col min="3" max="3" width="26.375" style="190" customWidth="1"/>
    <col min="4" max="16384" width="9" style="189"/>
  </cols>
  <sheetData>
    <row r="1" ht="14.25" customHeight="1" spans="1:3">
      <c r="A1" s="191" t="s">
        <v>510</v>
      </c>
      <c r="B1" s="192"/>
      <c r="C1" s="193"/>
    </row>
    <row r="2" ht="20.25" spans="1:3">
      <c r="A2" s="194" t="s">
        <v>511</v>
      </c>
      <c r="B2" s="194"/>
      <c r="C2" s="194"/>
    </row>
    <row r="3" ht="22.5" customHeight="1" spans="1:3">
      <c r="A3" s="195"/>
      <c r="B3" s="195"/>
      <c r="C3" s="196" t="s">
        <v>2</v>
      </c>
    </row>
    <row r="4" ht="27.75" customHeight="1" spans="1:3">
      <c r="A4" s="197" t="s">
        <v>512</v>
      </c>
      <c r="B4" s="197" t="s">
        <v>513</v>
      </c>
      <c r="C4" s="197" t="s">
        <v>514</v>
      </c>
    </row>
    <row r="5" ht="17.25" customHeight="1" spans="1:3">
      <c r="A5" s="198" t="s">
        <v>515</v>
      </c>
      <c r="B5" s="199">
        <f>B6+B18+B27+B38+B50+B61+B72+B84+B93+B106+B116+B125+B136+B149+B156+B164+B170+B177+B184+B191+B198+B205+B213+B219+B225+B232+B247</f>
        <v>27651</v>
      </c>
      <c r="C5" s="200"/>
    </row>
    <row r="6" ht="17.25" customHeight="1" spans="1:3">
      <c r="A6" s="198" t="s">
        <v>516</v>
      </c>
      <c r="B6" s="199">
        <f>SUM(B7:B17)</f>
        <v>807</v>
      </c>
      <c r="C6" s="200"/>
    </row>
    <row r="7" ht="17.25" customHeight="1" spans="1:3">
      <c r="A7" s="198" t="s">
        <v>517</v>
      </c>
      <c r="B7" s="201">
        <f>24+685+24</f>
        <v>733</v>
      </c>
      <c r="C7" s="202"/>
    </row>
    <row r="8" ht="17.25" customHeight="1" spans="1:3">
      <c r="A8" s="203" t="s">
        <v>518</v>
      </c>
      <c r="B8" s="204"/>
      <c r="C8" s="205"/>
    </row>
    <row r="9" ht="17.25" customHeight="1" spans="1:3">
      <c r="A9" s="203" t="s">
        <v>519</v>
      </c>
      <c r="B9" s="204"/>
      <c r="C9" s="205"/>
    </row>
    <row r="10" ht="17.25" customHeight="1" spans="1:3">
      <c r="A10" s="203" t="s">
        <v>520</v>
      </c>
      <c r="B10" s="204"/>
      <c r="C10" s="205"/>
    </row>
    <row r="11" ht="17.25" customHeight="1" spans="1:3">
      <c r="A11" s="203" t="s">
        <v>521</v>
      </c>
      <c r="B11" s="204"/>
      <c r="C11" s="205"/>
    </row>
    <row r="12" ht="17.25" customHeight="1" spans="1:3">
      <c r="A12" s="203" t="s">
        <v>522</v>
      </c>
      <c r="B12" s="204"/>
      <c r="C12" s="205"/>
    </row>
    <row r="13" ht="17.25" customHeight="1" spans="1:3">
      <c r="A13" s="203" t="s">
        <v>523</v>
      </c>
      <c r="B13" s="204"/>
      <c r="C13" s="205"/>
    </row>
    <row r="14" ht="17.25" customHeight="1" spans="1:3">
      <c r="A14" s="198" t="s">
        <v>524</v>
      </c>
      <c r="B14" s="201">
        <v>17</v>
      </c>
      <c r="C14" s="202"/>
    </row>
    <row r="15" ht="17.25" customHeight="1" spans="1:3">
      <c r="A15" s="203" t="s">
        <v>525</v>
      </c>
      <c r="B15" s="204"/>
      <c r="C15" s="205"/>
    </row>
    <row r="16" ht="17.25" customHeight="1" spans="1:3">
      <c r="A16" s="198" t="s">
        <v>526</v>
      </c>
      <c r="B16" s="201">
        <v>57</v>
      </c>
      <c r="C16" s="202"/>
    </row>
    <row r="17" ht="17.25" customHeight="1" spans="1:3">
      <c r="A17" s="203" t="s">
        <v>527</v>
      </c>
      <c r="B17" s="204"/>
      <c r="C17" s="205"/>
    </row>
    <row r="18" ht="17.25" customHeight="1" spans="1:3">
      <c r="A18" s="198" t="s">
        <v>528</v>
      </c>
      <c r="B18" s="199">
        <f>SUM(B19:B26)</f>
        <v>332</v>
      </c>
      <c r="C18" s="200"/>
    </row>
    <row r="19" ht="17.25" customHeight="1" spans="1:3">
      <c r="A19" s="198" t="s">
        <v>517</v>
      </c>
      <c r="B19" s="201">
        <f>13+306+13</f>
        <v>332</v>
      </c>
      <c r="C19" s="202"/>
    </row>
    <row r="20" ht="17.25" customHeight="1" spans="1:3">
      <c r="A20" s="203" t="s">
        <v>518</v>
      </c>
      <c r="B20" s="204"/>
      <c r="C20" s="205"/>
    </row>
    <row r="21" ht="17.25" customHeight="1" spans="1:3">
      <c r="A21" s="203" t="s">
        <v>519</v>
      </c>
      <c r="B21" s="204"/>
      <c r="C21" s="205"/>
    </row>
    <row r="22" ht="17.25" customHeight="1" spans="1:3">
      <c r="A22" s="203" t="s">
        <v>529</v>
      </c>
      <c r="B22" s="204"/>
      <c r="C22" s="205"/>
    </row>
    <row r="23" ht="17.25" customHeight="1" spans="1:3">
      <c r="A23" s="203" t="s">
        <v>530</v>
      </c>
      <c r="B23" s="204"/>
      <c r="C23" s="205"/>
    </row>
    <row r="24" ht="17.25" customHeight="1" spans="1:3">
      <c r="A24" s="203" t="s">
        <v>531</v>
      </c>
      <c r="B24" s="204"/>
      <c r="C24" s="205"/>
    </row>
    <row r="25" ht="17.25" customHeight="1" spans="1:3">
      <c r="A25" s="203" t="s">
        <v>526</v>
      </c>
      <c r="B25" s="204"/>
      <c r="C25" s="205"/>
    </row>
    <row r="26" ht="17.25" customHeight="1" spans="1:3">
      <c r="A26" s="203" t="s">
        <v>532</v>
      </c>
      <c r="B26" s="204"/>
      <c r="C26" s="205"/>
    </row>
    <row r="27" ht="17.25" customHeight="1" spans="1:3">
      <c r="A27" s="198" t="s">
        <v>533</v>
      </c>
      <c r="B27" s="199">
        <f>SUM(B28:B37)</f>
        <v>16745</v>
      </c>
      <c r="C27" s="200"/>
    </row>
    <row r="28" ht="17.25" customHeight="1" spans="1:3">
      <c r="A28" s="198" t="s">
        <v>517</v>
      </c>
      <c r="B28" s="201">
        <f>1089+10937+1089+223</f>
        <v>13338</v>
      </c>
      <c r="C28" s="202"/>
    </row>
    <row r="29" ht="17.25" customHeight="1" spans="1:3">
      <c r="A29" s="198" t="s">
        <v>518</v>
      </c>
      <c r="B29" s="201">
        <v>321</v>
      </c>
      <c r="C29" s="202"/>
    </row>
    <row r="30" ht="17.25" customHeight="1" spans="1:3">
      <c r="A30" s="203" t="s">
        <v>519</v>
      </c>
      <c r="B30" s="204"/>
      <c r="C30" s="205"/>
    </row>
    <row r="31" ht="17.25" customHeight="1" spans="1:3">
      <c r="A31" s="203" t="s">
        <v>534</v>
      </c>
      <c r="B31" s="204"/>
      <c r="C31" s="205"/>
    </row>
    <row r="32" ht="17.25" customHeight="1" spans="1:3">
      <c r="A32" s="203" t="s">
        <v>535</v>
      </c>
      <c r="B32" s="204"/>
      <c r="C32" s="205"/>
    </row>
    <row r="33" ht="17.25" customHeight="1" spans="1:3">
      <c r="A33" s="198" t="s">
        <v>536</v>
      </c>
      <c r="B33" s="201">
        <v>109</v>
      </c>
      <c r="C33" s="202"/>
    </row>
    <row r="34" ht="17.25" customHeight="1" spans="1:3">
      <c r="A34" s="198" t="s">
        <v>537</v>
      </c>
      <c r="B34" s="201">
        <v>214</v>
      </c>
      <c r="C34" s="202"/>
    </row>
    <row r="35" ht="17.25" customHeight="1" spans="1:3">
      <c r="A35" s="203" t="s">
        <v>538</v>
      </c>
      <c r="B35" s="204"/>
      <c r="C35" s="205"/>
    </row>
    <row r="36" ht="17.25" customHeight="1" spans="1:3">
      <c r="A36" s="198" t="s">
        <v>526</v>
      </c>
      <c r="B36" s="201">
        <f>53+2421+53</f>
        <v>2527</v>
      </c>
      <c r="C36" s="202"/>
    </row>
    <row r="37" ht="17.25" customHeight="1" spans="1:3">
      <c r="A37" s="198" t="s">
        <v>539</v>
      </c>
      <c r="B37" s="201">
        <f>14+208+14</f>
        <v>236</v>
      </c>
      <c r="C37" s="202"/>
    </row>
    <row r="38" ht="17.25" customHeight="1" spans="1:3">
      <c r="A38" s="198" t="s">
        <v>540</v>
      </c>
      <c r="B38" s="199">
        <f>SUM(B39:B49)</f>
        <v>564</v>
      </c>
      <c r="C38" s="200"/>
    </row>
    <row r="39" ht="17.25" customHeight="1" spans="1:3">
      <c r="A39" s="198" t="s">
        <v>517</v>
      </c>
      <c r="B39" s="201">
        <f>29+266+29</f>
        <v>324</v>
      </c>
      <c r="C39" s="202"/>
    </row>
    <row r="40" ht="17.25" customHeight="1" spans="1:3">
      <c r="A40" s="203" t="s">
        <v>518</v>
      </c>
      <c r="B40" s="204"/>
      <c r="C40" s="205"/>
    </row>
    <row r="41" ht="17.25" customHeight="1" spans="1:3">
      <c r="A41" s="203" t="s">
        <v>519</v>
      </c>
      <c r="B41" s="204"/>
      <c r="C41" s="205"/>
    </row>
    <row r="42" ht="17.25" customHeight="1" spans="1:3">
      <c r="A42" s="203" t="s">
        <v>541</v>
      </c>
      <c r="B42" s="204"/>
      <c r="C42" s="205"/>
    </row>
    <row r="43" ht="17.25" customHeight="1" spans="1:3">
      <c r="A43" s="203" t="s">
        <v>542</v>
      </c>
      <c r="B43" s="204"/>
      <c r="C43" s="205"/>
    </row>
    <row r="44" ht="17.25" customHeight="1" spans="1:3">
      <c r="A44" s="203" t="s">
        <v>543</v>
      </c>
      <c r="B44" s="204"/>
      <c r="C44" s="205"/>
    </row>
    <row r="45" ht="17.25" customHeight="1" spans="1:3">
      <c r="A45" s="203" t="s">
        <v>544</v>
      </c>
      <c r="B45" s="204"/>
      <c r="C45" s="205"/>
    </row>
    <row r="46" ht="17.25" customHeight="1" spans="1:3">
      <c r="A46" s="203" t="s">
        <v>545</v>
      </c>
      <c r="B46" s="204"/>
      <c r="C46" s="205"/>
    </row>
    <row r="47" ht="17.25" customHeight="1" spans="1:3">
      <c r="A47" s="203" t="s">
        <v>546</v>
      </c>
      <c r="B47" s="204"/>
      <c r="C47" s="205"/>
    </row>
    <row r="48" ht="17.25" customHeight="1" spans="1:3">
      <c r="A48" s="198" t="s">
        <v>526</v>
      </c>
      <c r="B48" s="201">
        <v>240</v>
      </c>
      <c r="C48" s="202"/>
    </row>
    <row r="49" ht="17.25" customHeight="1" spans="1:3">
      <c r="A49" s="203" t="s">
        <v>547</v>
      </c>
      <c r="B49" s="204"/>
      <c r="C49" s="205"/>
    </row>
    <row r="50" ht="17.25" customHeight="1" spans="1:3">
      <c r="A50" s="198" t="s">
        <v>548</v>
      </c>
      <c r="B50" s="199">
        <f>SUM(B51:B60)</f>
        <v>275</v>
      </c>
      <c r="C50" s="200"/>
    </row>
    <row r="51" ht="17.25" customHeight="1" spans="1:3">
      <c r="A51" s="198" t="s">
        <v>517</v>
      </c>
      <c r="B51" s="201">
        <f>13+249+13</f>
        <v>275</v>
      </c>
      <c r="C51" s="202"/>
    </row>
    <row r="52" ht="17.25" customHeight="1" spans="1:3">
      <c r="A52" s="203" t="s">
        <v>518</v>
      </c>
      <c r="B52" s="204"/>
      <c r="C52" s="205"/>
    </row>
    <row r="53" ht="17.25" customHeight="1" spans="1:3">
      <c r="A53" s="203" t="s">
        <v>519</v>
      </c>
      <c r="B53" s="204"/>
      <c r="C53" s="205"/>
    </row>
    <row r="54" ht="17.25" customHeight="1" spans="1:3">
      <c r="A54" s="203" t="s">
        <v>549</v>
      </c>
      <c r="B54" s="204"/>
      <c r="C54" s="205"/>
    </row>
    <row r="55" ht="17.25" customHeight="1" spans="1:3">
      <c r="A55" s="203" t="s">
        <v>550</v>
      </c>
      <c r="B55" s="204"/>
      <c r="C55" s="205"/>
    </row>
    <row r="56" ht="17.25" customHeight="1" spans="1:3">
      <c r="A56" s="203" t="s">
        <v>551</v>
      </c>
      <c r="B56" s="204"/>
      <c r="C56" s="205"/>
    </row>
    <row r="57" ht="17.25" customHeight="1" spans="1:3">
      <c r="A57" s="203" t="s">
        <v>552</v>
      </c>
      <c r="B57" s="204"/>
      <c r="C57" s="205"/>
    </row>
    <row r="58" ht="17.25" customHeight="1" spans="1:3">
      <c r="A58" s="203" t="s">
        <v>553</v>
      </c>
      <c r="B58" s="204"/>
      <c r="C58" s="205"/>
    </row>
    <row r="59" ht="17.25" customHeight="1" spans="1:3">
      <c r="A59" s="203" t="s">
        <v>526</v>
      </c>
      <c r="B59" s="204"/>
      <c r="C59" s="205"/>
    </row>
    <row r="60" ht="17.25" customHeight="1" spans="1:3">
      <c r="A60" s="203" t="s">
        <v>554</v>
      </c>
      <c r="B60" s="204"/>
      <c r="C60" s="205"/>
    </row>
    <row r="61" ht="17.25" customHeight="1" spans="1:3">
      <c r="A61" s="198" t="s">
        <v>555</v>
      </c>
      <c r="B61" s="199">
        <f>SUM(B62:B71)</f>
        <v>1934</v>
      </c>
      <c r="C61" s="200"/>
    </row>
    <row r="62" ht="17.25" customHeight="1" spans="1:3">
      <c r="A62" s="198" t="s">
        <v>517</v>
      </c>
      <c r="B62" s="201">
        <f>42+1288+42</f>
        <v>1372</v>
      </c>
      <c r="C62" s="202"/>
    </row>
    <row r="63" ht="17.25" customHeight="1" spans="1:3">
      <c r="A63" s="203" t="s">
        <v>518</v>
      </c>
      <c r="B63" s="204"/>
      <c r="C63" s="205"/>
    </row>
    <row r="64" ht="17.25" customHeight="1" spans="1:3">
      <c r="A64" s="198" t="s">
        <v>519</v>
      </c>
      <c r="B64" s="201">
        <v>12</v>
      </c>
      <c r="C64" s="202"/>
    </row>
    <row r="65" ht="17.25" customHeight="1" spans="1:3">
      <c r="A65" s="203" t="s">
        <v>556</v>
      </c>
      <c r="B65" s="204"/>
      <c r="C65" s="205"/>
    </row>
    <row r="66" ht="17.25" customHeight="1" spans="1:3">
      <c r="A66" s="203" t="s">
        <v>557</v>
      </c>
      <c r="B66" s="204"/>
      <c r="C66" s="205"/>
    </row>
    <row r="67" ht="17.25" customHeight="1" spans="1:3">
      <c r="A67" s="203" t="s">
        <v>558</v>
      </c>
      <c r="B67" s="204"/>
      <c r="C67" s="205"/>
    </row>
    <row r="68" ht="17.25" customHeight="1" spans="1:3">
      <c r="A68" s="203" t="s">
        <v>559</v>
      </c>
      <c r="B68" s="204"/>
      <c r="C68" s="205"/>
    </row>
    <row r="69" ht="17.25" customHeight="1" spans="1:3">
      <c r="A69" s="203" t="s">
        <v>560</v>
      </c>
      <c r="B69" s="204"/>
      <c r="C69" s="205"/>
    </row>
    <row r="70" ht="17.25" customHeight="1" spans="1:3">
      <c r="A70" s="198" t="s">
        <v>526</v>
      </c>
      <c r="B70" s="201">
        <f>8+533+8</f>
        <v>549</v>
      </c>
      <c r="C70" s="202"/>
    </row>
    <row r="71" ht="17.25" customHeight="1" spans="1:3">
      <c r="A71" s="198" t="s">
        <v>561</v>
      </c>
      <c r="B71" s="201">
        <v>1</v>
      </c>
      <c r="C71" s="202"/>
    </row>
    <row r="72" ht="17.25" customHeight="1" spans="1:3">
      <c r="A72" s="203" t="s">
        <v>562</v>
      </c>
      <c r="B72" s="206">
        <f>SUM(B73:B83)</f>
        <v>0</v>
      </c>
      <c r="C72" s="207"/>
    </row>
    <row r="73" ht="17.25" customHeight="1" spans="1:3">
      <c r="A73" s="203" t="s">
        <v>517</v>
      </c>
      <c r="B73" s="204"/>
      <c r="C73" s="205"/>
    </row>
    <row r="74" ht="17.25" customHeight="1" spans="1:3">
      <c r="A74" s="203" t="s">
        <v>518</v>
      </c>
      <c r="B74" s="204"/>
      <c r="C74" s="205"/>
    </row>
    <row r="75" ht="17.25" customHeight="1" spans="1:3">
      <c r="A75" s="203" t="s">
        <v>519</v>
      </c>
      <c r="B75" s="204"/>
      <c r="C75" s="205"/>
    </row>
    <row r="76" ht="17.25" customHeight="1" spans="1:3">
      <c r="A76" s="203" t="s">
        <v>563</v>
      </c>
      <c r="B76" s="204"/>
      <c r="C76" s="205"/>
    </row>
    <row r="77" ht="17.25" customHeight="1" spans="1:3">
      <c r="A77" s="203" t="s">
        <v>564</v>
      </c>
      <c r="B77" s="204"/>
      <c r="C77" s="205"/>
    </row>
    <row r="78" ht="17.25" customHeight="1" spans="1:3">
      <c r="A78" s="203" t="s">
        <v>565</v>
      </c>
      <c r="B78" s="204"/>
      <c r="C78" s="205"/>
    </row>
    <row r="79" ht="17.25" customHeight="1" spans="1:3">
      <c r="A79" s="203" t="s">
        <v>566</v>
      </c>
      <c r="B79" s="204"/>
      <c r="C79" s="205"/>
    </row>
    <row r="80" ht="17.25" customHeight="1" spans="1:3">
      <c r="A80" s="203" t="s">
        <v>567</v>
      </c>
      <c r="B80" s="204"/>
      <c r="C80" s="205"/>
    </row>
    <row r="81" ht="17.25" customHeight="1" spans="1:3">
      <c r="A81" s="203" t="s">
        <v>559</v>
      </c>
      <c r="B81" s="204"/>
      <c r="C81" s="205"/>
    </row>
    <row r="82" ht="17.25" customHeight="1" spans="1:3">
      <c r="A82" s="203" t="s">
        <v>526</v>
      </c>
      <c r="B82" s="204"/>
      <c r="C82" s="205"/>
    </row>
    <row r="83" ht="17.25" customHeight="1" spans="1:3">
      <c r="A83" s="203" t="s">
        <v>568</v>
      </c>
      <c r="B83" s="204"/>
      <c r="C83" s="205"/>
    </row>
    <row r="84" ht="17.25" customHeight="1" spans="1:3">
      <c r="A84" s="198" t="s">
        <v>569</v>
      </c>
      <c r="B84" s="199">
        <f>SUM(B85:B92)</f>
        <v>367</v>
      </c>
      <c r="C84" s="200"/>
    </row>
    <row r="85" ht="17.25" customHeight="1" spans="1:3">
      <c r="A85" s="198" t="s">
        <v>517</v>
      </c>
      <c r="B85" s="201">
        <f>18+216+18</f>
        <v>252</v>
      </c>
      <c r="C85" s="202"/>
    </row>
    <row r="86" ht="17.25" customHeight="1" spans="1:3">
      <c r="A86" s="198" t="s">
        <v>518</v>
      </c>
      <c r="B86" s="201">
        <v>12</v>
      </c>
      <c r="C86" s="202"/>
    </row>
    <row r="87" ht="17.25" customHeight="1" spans="1:3">
      <c r="A87" s="203" t="s">
        <v>519</v>
      </c>
      <c r="B87" s="204"/>
      <c r="C87" s="205"/>
    </row>
    <row r="88" ht="17.25" customHeight="1" spans="1:3">
      <c r="A88" s="203" t="s">
        <v>570</v>
      </c>
      <c r="B88" s="204"/>
      <c r="C88" s="205"/>
    </row>
    <row r="89" ht="17.25" customHeight="1" spans="1:3">
      <c r="A89" s="203" t="s">
        <v>571</v>
      </c>
      <c r="B89" s="204"/>
      <c r="C89" s="205"/>
    </row>
    <row r="90" ht="17.25" customHeight="1" spans="1:3">
      <c r="A90" s="203" t="s">
        <v>559</v>
      </c>
      <c r="B90" s="204"/>
      <c r="C90" s="205"/>
    </row>
    <row r="91" ht="17.25" customHeight="1" spans="1:3">
      <c r="A91" s="198" t="s">
        <v>526</v>
      </c>
      <c r="B91" s="201">
        <v>103</v>
      </c>
      <c r="C91" s="202"/>
    </row>
    <row r="92" ht="17.25" customHeight="1" spans="1:3">
      <c r="A92" s="203" t="s">
        <v>572</v>
      </c>
      <c r="B92" s="204"/>
      <c r="C92" s="205"/>
    </row>
    <row r="93" ht="17.25" customHeight="1" spans="1:3">
      <c r="A93" s="203" t="s">
        <v>573</v>
      </c>
      <c r="B93" s="206">
        <f>SUM(B94:B105)</f>
        <v>0</v>
      </c>
      <c r="C93" s="207"/>
    </row>
    <row r="94" ht="17.25" customHeight="1" spans="1:3">
      <c r="A94" s="203" t="s">
        <v>517</v>
      </c>
      <c r="B94" s="204"/>
      <c r="C94" s="205"/>
    </row>
    <row r="95" ht="17.25" customHeight="1" spans="1:3">
      <c r="A95" s="203" t="s">
        <v>518</v>
      </c>
      <c r="B95" s="204"/>
      <c r="C95" s="205"/>
    </row>
    <row r="96" ht="17.25" customHeight="1" spans="1:3">
      <c r="A96" s="203" t="s">
        <v>519</v>
      </c>
      <c r="B96" s="204"/>
      <c r="C96" s="205"/>
    </row>
    <row r="97" ht="17.25" customHeight="1" spans="1:3">
      <c r="A97" s="203" t="s">
        <v>574</v>
      </c>
      <c r="B97" s="204"/>
      <c r="C97" s="205"/>
    </row>
    <row r="98" ht="17.25" customHeight="1" spans="1:3">
      <c r="A98" s="203" t="s">
        <v>575</v>
      </c>
      <c r="B98" s="204"/>
      <c r="C98" s="205"/>
    </row>
    <row r="99" ht="17.25" customHeight="1" spans="1:3">
      <c r="A99" s="203" t="s">
        <v>559</v>
      </c>
      <c r="B99" s="204"/>
      <c r="C99" s="205"/>
    </row>
    <row r="100" ht="17.25" customHeight="1" spans="1:3">
      <c r="A100" s="203" t="s">
        <v>576</v>
      </c>
      <c r="B100" s="204"/>
      <c r="C100" s="205"/>
    </row>
    <row r="101" ht="17.25" customHeight="1" spans="1:3">
      <c r="A101" s="203" t="s">
        <v>577</v>
      </c>
      <c r="B101" s="204"/>
      <c r="C101" s="205"/>
    </row>
    <row r="102" ht="17.25" customHeight="1" spans="1:3">
      <c r="A102" s="203" t="s">
        <v>578</v>
      </c>
      <c r="B102" s="204"/>
      <c r="C102" s="205"/>
    </row>
    <row r="103" ht="17.25" customHeight="1" spans="1:3">
      <c r="A103" s="203" t="s">
        <v>579</v>
      </c>
      <c r="B103" s="204"/>
      <c r="C103" s="205"/>
    </row>
    <row r="104" ht="17.25" customHeight="1" spans="1:3">
      <c r="A104" s="203" t="s">
        <v>526</v>
      </c>
      <c r="B104" s="204"/>
      <c r="C104" s="205"/>
    </row>
    <row r="105" ht="17.25" customHeight="1" spans="1:3">
      <c r="A105" s="203" t="s">
        <v>580</v>
      </c>
      <c r="B105" s="204"/>
      <c r="C105" s="205"/>
    </row>
    <row r="106" ht="17.25" customHeight="1" spans="1:3">
      <c r="A106" s="203" t="s">
        <v>581</v>
      </c>
      <c r="B106" s="206">
        <f>SUM(B107:B115)</f>
        <v>0</v>
      </c>
      <c r="C106" s="207"/>
    </row>
    <row r="107" ht="17.25" customHeight="1" spans="1:3">
      <c r="A107" s="203" t="s">
        <v>517</v>
      </c>
      <c r="B107" s="204"/>
      <c r="C107" s="205"/>
    </row>
    <row r="108" ht="17.25" customHeight="1" spans="1:3">
      <c r="A108" s="203" t="s">
        <v>518</v>
      </c>
      <c r="B108" s="204"/>
      <c r="C108" s="205"/>
    </row>
    <row r="109" ht="17.25" customHeight="1" spans="1:3">
      <c r="A109" s="203" t="s">
        <v>519</v>
      </c>
      <c r="B109" s="204"/>
      <c r="C109" s="205"/>
    </row>
    <row r="110" ht="17.25" customHeight="1" spans="1:3">
      <c r="A110" s="203" t="s">
        <v>582</v>
      </c>
      <c r="B110" s="204"/>
      <c r="C110" s="205"/>
    </row>
    <row r="111" ht="17.25" customHeight="1" spans="1:3">
      <c r="A111" s="203" t="s">
        <v>583</v>
      </c>
      <c r="B111" s="204"/>
      <c r="C111" s="205"/>
    </row>
    <row r="112" ht="17.25" customHeight="1" spans="1:3">
      <c r="A112" s="203" t="s">
        <v>584</v>
      </c>
      <c r="B112" s="204"/>
      <c r="C112" s="205"/>
    </row>
    <row r="113" ht="17.25" customHeight="1" spans="1:3">
      <c r="A113" s="203" t="s">
        <v>585</v>
      </c>
      <c r="B113" s="204"/>
      <c r="C113" s="205"/>
    </row>
    <row r="114" ht="17.25" customHeight="1" spans="1:3">
      <c r="A114" s="203" t="s">
        <v>526</v>
      </c>
      <c r="B114" s="204"/>
      <c r="C114" s="205"/>
    </row>
    <row r="115" ht="17.25" customHeight="1" spans="1:3">
      <c r="A115" s="203" t="s">
        <v>586</v>
      </c>
      <c r="B115" s="204"/>
      <c r="C115" s="205"/>
    </row>
    <row r="116" ht="17.25" customHeight="1" spans="1:3">
      <c r="A116" s="198" t="s">
        <v>587</v>
      </c>
      <c r="B116" s="199">
        <f>SUM(B117:B124)</f>
        <v>979</v>
      </c>
      <c r="C116" s="200"/>
    </row>
    <row r="117" ht="17.25" customHeight="1" spans="1:3">
      <c r="A117" s="198" t="s">
        <v>517</v>
      </c>
      <c r="B117" s="201">
        <f>22+846+22</f>
        <v>890</v>
      </c>
      <c r="C117" s="202"/>
    </row>
    <row r="118" ht="17.25" customHeight="1" spans="1:3">
      <c r="A118" s="203" t="s">
        <v>518</v>
      </c>
      <c r="B118" s="204"/>
      <c r="C118" s="205"/>
    </row>
    <row r="119" ht="17.25" customHeight="1" spans="1:3">
      <c r="A119" s="203" t="s">
        <v>519</v>
      </c>
      <c r="B119" s="204"/>
      <c r="C119" s="205"/>
    </row>
    <row r="120" ht="17.25" customHeight="1" spans="1:3">
      <c r="A120" s="203" t="s">
        <v>588</v>
      </c>
      <c r="B120" s="204"/>
      <c r="C120" s="205"/>
    </row>
    <row r="121" ht="17.25" customHeight="1" spans="1:3">
      <c r="A121" s="198" t="s">
        <v>589</v>
      </c>
      <c r="B121" s="201">
        <v>89</v>
      </c>
      <c r="C121" s="202"/>
    </row>
    <row r="122" ht="17.25" customHeight="1" spans="1:3">
      <c r="A122" s="203" t="s">
        <v>590</v>
      </c>
      <c r="B122" s="204"/>
      <c r="C122" s="205"/>
    </row>
    <row r="123" ht="17.25" customHeight="1" spans="1:3">
      <c r="A123" s="203" t="s">
        <v>526</v>
      </c>
      <c r="B123" s="204"/>
      <c r="C123" s="205"/>
    </row>
    <row r="124" ht="17.25" customHeight="1" spans="1:3">
      <c r="A124" s="203" t="s">
        <v>591</v>
      </c>
      <c r="B124" s="204"/>
      <c r="C124" s="205"/>
    </row>
    <row r="125" ht="17.25" customHeight="1" spans="1:3">
      <c r="A125" s="198" t="s">
        <v>592</v>
      </c>
      <c r="B125" s="199">
        <f>SUM(B126:B135)</f>
        <v>708</v>
      </c>
      <c r="C125" s="200"/>
    </row>
    <row r="126" ht="17.25" customHeight="1" spans="1:3">
      <c r="A126" s="198" t="s">
        <v>517</v>
      </c>
      <c r="B126" s="201">
        <f>38+558+38</f>
        <v>634</v>
      </c>
      <c r="C126" s="202"/>
    </row>
    <row r="127" ht="17.25" customHeight="1" spans="1:3">
      <c r="A127" s="203" t="s">
        <v>518</v>
      </c>
      <c r="B127" s="204"/>
      <c r="C127" s="205"/>
    </row>
    <row r="128" ht="17.25" customHeight="1" spans="1:3">
      <c r="A128" s="203" t="s">
        <v>519</v>
      </c>
      <c r="B128" s="204"/>
      <c r="C128" s="205"/>
    </row>
    <row r="129" ht="17.25" customHeight="1" spans="1:3">
      <c r="A129" s="203" t="s">
        <v>593</v>
      </c>
      <c r="B129" s="204"/>
      <c r="C129" s="205"/>
    </row>
    <row r="130" ht="17.25" customHeight="1" spans="1:3">
      <c r="A130" s="203" t="s">
        <v>594</v>
      </c>
      <c r="B130" s="204"/>
      <c r="C130" s="205"/>
    </row>
    <row r="131" ht="17.25" customHeight="1" spans="1:3">
      <c r="A131" s="203" t="s">
        <v>595</v>
      </c>
      <c r="B131" s="204"/>
      <c r="C131" s="205"/>
    </row>
    <row r="132" ht="17.25" customHeight="1" spans="1:3">
      <c r="A132" s="203" t="s">
        <v>596</v>
      </c>
      <c r="B132" s="204"/>
      <c r="C132" s="205"/>
    </row>
    <row r="133" ht="17.25" customHeight="1" spans="1:3">
      <c r="A133" s="203" t="s">
        <v>597</v>
      </c>
      <c r="B133" s="204"/>
      <c r="C133" s="205"/>
    </row>
    <row r="134" ht="17.25" customHeight="1" spans="1:3">
      <c r="A134" s="198" t="s">
        <v>526</v>
      </c>
      <c r="B134" s="201">
        <v>74</v>
      </c>
      <c r="C134" s="202"/>
    </row>
    <row r="135" ht="17.25" customHeight="1" spans="1:3">
      <c r="A135" s="203" t="s">
        <v>598</v>
      </c>
      <c r="B135" s="204"/>
      <c r="C135" s="205"/>
    </row>
    <row r="136" ht="17.25" customHeight="1" spans="1:3">
      <c r="A136" s="203" t="s">
        <v>599</v>
      </c>
      <c r="B136" s="206">
        <f>SUM(B137:B148)</f>
        <v>0</v>
      </c>
      <c r="C136" s="207"/>
    </row>
    <row r="137" ht="17.25" customHeight="1" spans="1:3">
      <c r="A137" s="203" t="s">
        <v>517</v>
      </c>
      <c r="B137" s="204"/>
      <c r="C137" s="205"/>
    </row>
    <row r="138" ht="17.25" customHeight="1" spans="1:3">
      <c r="A138" s="203" t="s">
        <v>518</v>
      </c>
      <c r="B138" s="204"/>
      <c r="C138" s="205"/>
    </row>
    <row r="139" ht="17.25" customHeight="1" spans="1:3">
      <c r="A139" s="203" t="s">
        <v>519</v>
      </c>
      <c r="B139" s="204"/>
      <c r="C139" s="205"/>
    </row>
    <row r="140" ht="17.25" customHeight="1" spans="1:3">
      <c r="A140" s="203" t="s">
        <v>600</v>
      </c>
      <c r="B140" s="204"/>
      <c r="C140" s="205"/>
    </row>
    <row r="141" ht="17.25" customHeight="1" spans="1:3">
      <c r="A141" s="203" t="s">
        <v>601</v>
      </c>
      <c r="B141" s="204"/>
      <c r="C141" s="205"/>
    </row>
    <row r="142" ht="17.25" customHeight="1" spans="1:3">
      <c r="A142" s="203" t="s">
        <v>602</v>
      </c>
      <c r="B142" s="204"/>
      <c r="C142" s="205"/>
    </row>
    <row r="143" ht="17.25" customHeight="1" spans="1:3">
      <c r="A143" s="203" t="s">
        <v>603</v>
      </c>
      <c r="B143" s="204"/>
      <c r="C143" s="205"/>
    </row>
    <row r="144" ht="17.25" customHeight="1" spans="1:3">
      <c r="A144" s="203" t="s">
        <v>604</v>
      </c>
      <c r="B144" s="204"/>
      <c r="C144" s="205"/>
    </row>
    <row r="145" ht="17.25" customHeight="1" spans="1:3">
      <c r="A145" s="203" t="s">
        <v>605</v>
      </c>
      <c r="B145" s="204"/>
      <c r="C145" s="205"/>
    </row>
    <row r="146" ht="17.25" customHeight="1" spans="1:3">
      <c r="A146" s="203" t="s">
        <v>606</v>
      </c>
      <c r="B146" s="204"/>
      <c r="C146" s="205"/>
    </row>
    <row r="147" ht="17.25" customHeight="1" spans="1:3">
      <c r="A147" s="203" t="s">
        <v>526</v>
      </c>
      <c r="B147" s="204"/>
      <c r="C147" s="205"/>
    </row>
    <row r="148" ht="17.25" customHeight="1" spans="1:3">
      <c r="A148" s="203" t="s">
        <v>607</v>
      </c>
      <c r="B148" s="204"/>
      <c r="C148" s="205"/>
    </row>
    <row r="149" ht="17.25" customHeight="1" spans="1:3">
      <c r="A149" s="203" t="s">
        <v>608</v>
      </c>
      <c r="B149" s="206">
        <f>SUM(B150:B155)</f>
        <v>0</v>
      </c>
      <c r="C149" s="207"/>
    </row>
    <row r="150" ht="17.25" customHeight="1" spans="1:3">
      <c r="A150" s="203" t="s">
        <v>517</v>
      </c>
      <c r="B150" s="204"/>
      <c r="C150" s="205"/>
    </row>
    <row r="151" ht="17.25" customHeight="1" spans="1:3">
      <c r="A151" s="203" t="s">
        <v>518</v>
      </c>
      <c r="B151" s="204"/>
      <c r="C151" s="205"/>
    </row>
    <row r="152" ht="17.25" customHeight="1" spans="1:3">
      <c r="A152" s="203" t="s">
        <v>519</v>
      </c>
      <c r="B152" s="204"/>
      <c r="C152" s="205"/>
    </row>
    <row r="153" ht="17.25" customHeight="1" spans="1:3">
      <c r="A153" s="203" t="s">
        <v>609</v>
      </c>
      <c r="B153" s="204"/>
      <c r="C153" s="205"/>
    </row>
    <row r="154" ht="17.25" customHeight="1" spans="1:3">
      <c r="A154" s="203" t="s">
        <v>526</v>
      </c>
      <c r="B154" s="204"/>
      <c r="C154" s="205"/>
    </row>
    <row r="155" ht="17.25" customHeight="1" spans="1:3">
      <c r="A155" s="203" t="s">
        <v>610</v>
      </c>
      <c r="B155" s="204"/>
      <c r="C155" s="205"/>
    </row>
    <row r="156" ht="17.25" customHeight="1" spans="1:3">
      <c r="A156" s="203" t="s">
        <v>611</v>
      </c>
      <c r="B156" s="206">
        <f>SUM(B157:B163)</f>
        <v>0</v>
      </c>
      <c r="C156" s="207"/>
    </row>
    <row r="157" ht="17.25" customHeight="1" spans="1:3">
      <c r="A157" s="203" t="s">
        <v>517</v>
      </c>
      <c r="B157" s="204"/>
      <c r="C157" s="205"/>
    </row>
    <row r="158" ht="17.25" customHeight="1" spans="1:3">
      <c r="A158" s="203" t="s">
        <v>518</v>
      </c>
      <c r="B158" s="204"/>
      <c r="C158" s="205"/>
    </row>
    <row r="159" ht="17.25" customHeight="1" spans="1:3">
      <c r="A159" s="203" t="s">
        <v>519</v>
      </c>
      <c r="B159" s="204"/>
      <c r="C159" s="205"/>
    </row>
    <row r="160" ht="17.25" customHeight="1" spans="1:3">
      <c r="A160" s="203" t="s">
        <v>612</v>
      </c>
      <c r="B160" s="204"/>
      <c r="C160" s="205"/>
    </row>
    <row r="161" ht="17.25" customHeight="1" spans="1:3">
      <c r="A161" s="203" t="s">
        <v>613</v>
      </c>
      <c r="B161" s="204"/>
      <c r="C161" s="205"/>
    </row>
    <row r="162" ht="17.25" customHeight="1" spans="1:3">
      <c r="A162" s="203" t="s">
        <v>526</v>
      </c>
      <c r="B162" s="204"/>
      <c r="C162" s="205"/>
    </row>
    <row r="163" ht="17.25" customHeight="1" spans="1:3">
      <c r="A163" s="203" t="s">
        <v>614</v>
      </c>
      <c r="B163" s="204"/>
      <c r="C163" s="205"/>
    </row>
    <row r="164" ht="17.25" customHeight="1" spans="1:3">
      <c r="A164" s="198" t="s">
        <v>615</v>
      </c>
      <c r="B164" s="199">
        <f>SUM(B165:B169)</f>
        <v>148</v>
      </c>
      <c r="C164" s="200"/>
    </row>
    <row r="165" ht="17.25" customHeight="1" spans="1:3">
      <c r="A165" s="198" t="s">
        <v>517</v>
      </c>
      <c r="B165" s="201">
        <f>8+132+8</f>
        <v>148</v>
      </c>
      <c r="C165" s="202"/>
    </row>
    <row r="166" ht="17.25" customHeight="1" spans="1:3">
      <c r="A166" s="203" t="s">
        <v>518</v>
      </c>
      <c r="B166" s="204"/>
      <c r="C166" s="205"/>
    </row>
    <row r="167" ht="17.25" customHeight="1" spans="1:3">
      <c r="A167" s="203" t="s">
        <v>519</v>
      </c>
      <c r="B167" s="204"/>
      <c r="C167" s="205"/>
    </row>
    <row r="168" ht="17.25" customHeight="1" spans="1:3">
      <c r="A168" s="203" t="s">
        <v>616</v>
      </c>
      <c r="B168" s="204"/>
      <c r="C168" s="205"/>
    </row>
    <row r="169" ht="17.25" customHeight="1" spans="1:3">
      <c r="A169" s="203" t="s">
        <v>617</v>
      </c>
      <c r="B169" s="204"/>
      <c r="C169" s="205"/>
    </row>
    <row r="170" ht="17.25" customHeight="1" spans="1:3">
      <c r="A170" s="198" t="s">
        <v>618</v>
      </c>
      <c r="B170" s="199">
        <f>SUM(B171:B176)</f>
        <v>94</v>
      </c>
      <c r="C170" s="200"/>
    </row>
    <row r="171" ht="17.25" customHeight="1" spans="1:3">
      <c r="A171" s="198" t="s">
        <v>517</v>
      </c>
      <c r="B171" s="201">
        <f>4+86+4</f>
        <v>94</v>
      </c>
      <c r="C171" s="202"/>
    </row>
    <row r="172" ht="17.25" customHeight="1" spans="1:3">
      <c r="A172" s="203" t="s">
        <v>518</v>
      </c>
      <c r="B172" s="204"/>
      <c r="C172" s="205"/>
    </row>
    <row r="173" ht="17.25" customHeight="1" spans="1:3">
      <c r="A173" s="203" t="s">
        <v>519</v>
      </c>
      <c r="B173" s="204"/>
      <c r="C173" s="205"/>
    </row>
    <row r="174" ht="17.25" customHeight="1" spans="1:3">
      <c r="A174" s="203" t="s">
        <v>531</v>
      </c>
      <c r="B174" s="204"/>
      <c r="C174" s="205"/>
    </row>
    <row r="175" ht="17.25" customHeight="1" spans="1:3">
      <c r="A175" s="203" t="s">
        <v>526</v>
      </c>
      <c r="B175" s="204"/>
      <c r="C175" s="205"/>
    </row>
    <row r="176" ht="17.25" customHeight="1" spans="1:3">
      <c r="A176" s="203" t="s">
        <v>619</v>
      </c>
      <c r="B176" s="204"/>
      <c r="C176" s="205"/>
    </row>
    <row r="177" ht="17.25" customHeight="1" spans="1:3">
      <c r="A177" s="198" t="s">
        <v>620</v>
      </c>
      <c r="B177" s="199">
        <f>SUM(B178:B183)</f>
        <v>344</v>
      </c>
      <c r="C177" s="200"/>
    </row>
    <row r="178" ht="17.25" customHeight="1" spans="1:3">
      <c r="A178" s="198" t="s">
        <v>517</v>
      </c>
      <c r="B178" s="201">
        <f>13+149+13</f>
        <v>175</v>
      </c>
      <c r="C178" s="202"/>
    </row>
    <row r="179" ht="17.25" customHeight="1" spans="1:3">
      <c r="A179" s="203" t="s">
        <v>518</v>
      </c>
      <c r="B179" s="204"/>
      <c r="C179" s="205"/>
    </row>
    <row r="180" ht="17.25" customHeight="1" spans="1:3">
      <c r="A180" s="203" t="s">
        <v>519</v>
      </c>
      <c r="B180" s="204"/>
      <c r="C180" s="205"/>
    </row>
    <row r="181" ht="17.25" customHeight="1" spans="1:3">
      <c r="A181" s="203" t="s">
        <v>621</v>
      </c>
      <c r="B181" s="204"/>
      <c r="C181" s="205"/>
    </row>
    <row r="182" ht="17.25" customHeight="1" spans="1:3">
      <c r="A182" s="198" t="s">
        <v>526</v>
      </c>
      <c r="B182" s="201">
        <f>5+159+5</f>
        <v>169</v>
      </c>
      <c r="C182" s="202"/>
    </row>
    <row r="183" ht="17.25" customHeight="1" spans="1:3">
      <c r="A183" s="203" t="s">
        <v>622</v>
      </c>
      <c r="B183" s="204"/>
      <c r="C183" s="205"/>
    </row>
    <row r="184" ht="17.25" customHeight="1" spans="1:3">
      <c r="A184" s="198" t="s">
        <v>623</v>
      </c>
      <c r="B184" s="199">
        <f>SUM(B185:B190)</f>
        <v>1983</v>
      </c>
      <c r="C184" s="200"/>
    </row>
    <row r="185" ht="17.25" customHeight="1" spans="1:3">
      <c r="A185" s="198" t="s">
        <v>517</v>
      </c>
      <c r="B185" s="201">
        <f>57+1533+57</f>
        <v>1647</v>
      </c>
      <c r="C185" s="202"/>
    </row>
    <row r="186" ht="17.25" customHeight="1" spans="1:3">
      <c r="A186" s="203" t="s">
        <v>518</v>
      </c>
      <c r="B186" s="204"/>
      <c r="C186" s="205"/>
    </row>
    <row r="187" ht="17.25" customHeight="1" spans="1:3">
      <c r="A187" s="203" t="s">
        <v>519</v>
      </c>
      <c r="B187" s="204"/>
      <c r="C187" s="205"/>
    </row>
    <row r="188" ht="17.25" customHeight="1" spans="1:3">
      <c r="A188" s="203" t="s">
        <v>624</v>
      </c>
      <c r="B188" s="204"/>
      <c r="C188" s="205"/>
    </row>
    <row r="189" ht="17.25" customHeight="1" spans="1:3">
      <c r="A189" s="198" t="s">
        <v>526</v>
      </c>
      <c r="B189" s="201">
        <v>4</v>
      </c>
      <c r="C189" s="202"/>
    </row>
    <row r="190" ht="17.25" customHeight="1" spans="1:3">
      <c r="A190" s="198" t="s">
        <v>625</v>
      </c>
      <c r="B190" s="201">
        <f>17+298+17</f>
        <v>332</v>
      </c>
      <c r="C190" s="202"/>
    </row>
    <row r="191" ht="17.25" customHeight="1" spans="1:3">
      <c r="A191" s="198" t="s">
        <v>626</v>
      </c>
      <c r="B191" s="199">
        <f>SUM(B192:B197)</f>
        <v>365</v>
      </c>
      <c r="C191" s="200"/>
    </row>
    <row r="192" ht="17.25" customHeight="1" spans="1:3">
      <c r="A192" s="198" t="s">
        <v>517</v>
      </c>
      <c r="B192" s="201">
        <f>19+327+19</f>
        <v>365</v>
      </c>
      <c r="C192" s="202"/>
    </row>
    <row r="193" ht="17.25" customHeight="1" spans="1:3">
      <c r="A193" s="203" t="s">
        <v>518</v>
      </c>
      <c r="B193" s="204"/>
      <c r="C193" s="205"/>
    </row>
    <row r="194" ht="17.25" customHeight="1" spans="1:3">
      <c r="A194" s="203" t="s">
        <v>519</v>
      </c>
      <c r="B194" s="204"/>
      <c r="C194" s="205"/>
    </row>
    <row r="195" ht="17.25" customHeight="1" spans="1:3">
      <c r="A195" s="203" t="s">
        <v>627</v>
      </c>
      <c r="B195" s="204"/>
      <c r="C195" s="205"/>
    </row>
    <row r="196" ht="17.25" customHeight="1" spans="1:3">
      <c r="A196" s="203" t="s">
        <v>526</v>
      </c>
      <c r="B196" s="204"/>
      <c r="C196" s="205"/>
    </row>
    <row r="197" ht="17.25" customHeight="1" spans="1:3">
      <c r="A197" s="203" t="s">
        <v>628</v>
      </c>
      <c r="B197" s="204"/>
      <c r="C197" s="205"/>
    </row>
    <row r="198" ht="17.25" customHeight="1" spans="1:3">
      <c r="A198" s="198" t="s">
        <v>629</v>
      </c>
      <c r="B198" s="199">
        <f>SUM(B199:B204)</f>
        <v>270</v>
      </c>
      <c r="C198" s="200"/>
    </row>
    <row r="199" ht="17.25" customHeight="1" spans="1:3">
      <c r="A199" s="198" t="s">
        <v>517</v>
      </c>
      <c r="B199" s="201">
        <f>10+235+10</f>
        <v>255</v>
      </c>
      <c r="C199" s="202"/>
    </row>
    <row r="200" ht="17.25" customHeight="1" spans="1:3">
      <c r="A200" s="203" t="s">
        <v>518</v>
      </c>
      <c r="B200" s="204"/>
      <c r="C200" s="205"/>
    </row>
    <row r="201" ht="17.25" customHeight="1" spans="1:3">
      <c r="A201" s="203" t="s">
        <v>519</v>
      </c>
      <c r="B201" s="204"/>
      <c r="C201" s="205"/>
    </row>
    <row r="202" ht="17.25" customHeight="1" spans="1:3">
      <c r="A202" s="203" t="s">
        <v>630</v>
      </c>
      <c r="B202" s="204"/>
      <c r="C202" s="205"/>
    </row>
    <row r="203" ht="17.25" customHeight="1" spans="1:3">
      <c r="A203" s="198" t="s">
        <v>526</v>
      </c>
      <c r="B203" s="201">
        <v>15</v>
      </c>
      <c r="C203" s="202"/>
    </row>
    <row r="204" ht="17.25" customHeight="1" spans="1:3">
      <c r="A204" s="203" t="s">
        <v>631</v>
      </c>
      <c r="B204" s="204"/>
      <c r="C204" s="205"/>
    </row>
    <row r="205" ht="17.25" customHeight="1" spans="1:3">
      <c r="A205" s="198" t="s">
        <v>632</v>
      </c>
      <c r="B205" s="199">
        <f>SUM(B206:B212)</f>
        <v>155</v>
      </c>
      <c r="C205" s="200"/>
    </row>
    <row r="206" ht="17.25" customHeight="1" spans="1:3">
      <c r="A206" s="198" t="s">
        <v>517</v>
      </c>
      <c r="B206" s="201">
        <f>6+143+6</f>
        <v>155</v>
      </c>
      <c r="C206" s="202"/>
    </row>
    <row r="207" ht="17.25" customHeight="1" spans="1:3">
      <c r="A207" s="203" t="s">
        <v>518</v>
      </c>
      <c r="B207" s="204"/>
      <c r="C207" s="205"/>
    </row>
    <row r="208" ht="17.25" customHeight="1" spans="1:3">
      <c r="A208" s="203" t="s">
        <v>519</v>
      </c>
      <c r="B208" s="204"/>
      <c r="C208" s="205"/>
    </row>
    <row r="209" ht="17.25" customHeight="1" spans="1:3">
      <c r="A209" s="203" t="s">
        <v>633</v>
      </c>
      <c r="B209" s="204"/>
      <c r="C209" s="205"/>
    </row>
    <row r="210" ht="17.25" customHeight="1" spans="1:3">
      <c r="A210" s="203" t="s">
        <v>634</v>
      </c>
      <c r="B210" s="204"/>
      <c r="C210" s="205"/>
    </row>
    <row r="211" ht="17.25" customHeight="1" spans="1:3">
      <c r="A211" s="203" t="s">
        <v>526</v>
      </c>
      <c r="B211" s="204"/>
      <c r="C211" s="205"/>
    </row>
    <row r="212" ht="17.25" customHeight="1" spans="1:3">
      <c r="A212" s="203" t="s">
        <v>635</v>
      </c>
      <c r="B212" s="204"/>
      <c r="C212" s="205"/>
    </row>
    <row r="213" ht="17.25" customHeight="1" spans="1:3">
      <c r="A213" s="203" t="s">
        <v>636</v>
      </c>
      <c r="B213" s="206">
        <f>SUM(B214:B218)</f>
        <v>0</v>
      </c>
      <c r="C213" s="207"/>
    </row>
    <row r="214" ht="17.25" customHeight="1" spans="1:3">
      <c r="A214" s="203" t="s">
        <v>517</v>
      </c>
      <c r="B214" s="204"/>
      <c r="C214" s="205"/>
    </row>
    <row r="215" ht="17.25" customHeight="1" spans="1:3">
      <c r="A215" s="203" t="s">
        <v>518</v>
      </c>
      <c r="B215" s="204"/>
      <c r="C215" s="205"/>
    </row>
    <row r="216" ht="17.25" customHeight="1" spans="1:3">
      <c r="A216" s="203" t="s">
        <v>519</v>
      </c>
      <c r="B216" s="204"/>
      <c r="C216" s="205"/>
    </row>
    <row r="217" ht="17.25" customHeight="1" spans="1:3">
      <c r="A217" s="203" t="s">
        <v>526</v>
      </c>
      <c r="B217" s="204"/>
      <c r="C217" s="205"/>
    </row>
    <row r="218" ht="17.25" customHeight="1" spans="1:3">
      <c r="A218" s="203" t="s">
        <v>637</v>
      </c>
      <c r="B218" s="204"/>
      <c r="C218" s="205"/>
    </row>
    <row r="219" ht="17.25" customHeight="1" spans="1:3">
      <c r="A219" s="198" t="s">
        <v>638</v>
      </c>
      <c r="B219" s="199">
        <f>SUM(B220:B224)</f>
        <v>131</v>
      </c>
      <c r="C219" s="200"/>
    </row>
    <row r="220" ht="17.25" customHeight="1" spans="1:3">
      <c r="A220" s="198" t="s">
        <v>517</v>
      </c>
      <c r="B220" s="201">
        <v>131</v>
      </c>
      <c r="C220" s="202"/>
    </row>
    <row r="221" ht="17.25" customHeight="1" spans="1:3">
      <c r="A221" s="203" t="s">
        <v>518</v>
      </c>
      <c r="B221" s="204"/>
      <c r="C221" s="205"/>
    </row>
    <row r="222" ht="17.25" customHeight="1" spans="1:3">
      <c r="A222" s="203" t="s">
        <v>519</v>
      </c>
      <c r="B222" s="204"/>
      <c r="C222" s="205"/>
    </row>
    <row r="223" ht="17.25" customHeight="1" spans="1:3">
      <c r="A223" s="203" t="s">
        <v>526</v>
      </c>
      <c r="B223" s="204"/>
      <c r="C223" s="205"/>
    </row>
    <row r="224" ht="17.25" customHeight="1" spans="1:3">
      <c r="A224" s="203" t="s">
        <v>639</v>
      </c>
      <c r="B224" s="204"/>
      <c r="C224" s="205"/>
    </row>
    <row r="225" ht="17.25" customHeight="1" spans="1:3">
      <c r="A225" s="203" t="s">
        <v>640</v>
      </c>
      <c r="B225" s="206">
        <f>SUM(B226:B231)</f>
        <v>0</v>
      </c>
      <c r="C225" s="207"/>
    </row>
    <row r="226" ht="17.25" customHeight="1" spans="1:3">
      <c r="A226" s="203" t="s">
        <v>517</v>
      </c>
      <c r="B226" s="204"/>
      <c r="C226" s="205"/>
    </row>
    <row r="227" ht="17.25" customHeight="1" spans="1:3">
      <c r="A227" s="203" t="s">
        <v>518</v>
      </c>
      <c r="B227" s="204"/>
      <c r="C227" s="205"/>
    </row>
    <row r="228" ht="17.25" customHeight="1" spans="1:3">
      <c r="A228" s="203" t="s">
        <v>519</v>
      </c>
      <c r="B228" s="204"/>
      <c r="C228" s="205"/>
    </row>
    <row r="229" ht="17.25" customHeight="1" spans="1:3">
      <c r="A229" s="203" t="s">
        <v>641</v>
      </c>
      <c r="B229" s="204"/>
      <c r="C229" s="205"/>
    </row>
    <row r="230" ht="17.25" customHeight="1" spans="1:3">
      <c r="A230" s="203" t="s">
        <v>526</v>
      </c>
      <c r="B230" s="204"/>
      <c r="C230" s="205"/>
    </row>
    <row r="231" ht="17.25" customHeight="1" spans="1:3">
      <c r="A231" s="203" t="s">
        <v>642</v>
      </c>
      <c r="B231" s="204"/>
      <c r="C231" s="205"/>
    </row>
    <row r="232" ht="17.25" customHeight="1" spans="1:3">
      <c r="A232" s="198" t="s">
        <v>643</v>
      </c>
      <c r="B232" s="199">
        <f>SUM(B233:B246)</f>
        <v>1444</v>
      </c>
      <c r="C232" s="200"/>
    </row>
    <row r="233" ht="17.25" customHeight="1" spans="1:3">
      <c r="A233" s="198" t="s">
        <v>517</v>
      </c>
      <c r="B233" s="201">
        <f>119+1082+119</f>
        <v>1320</v>
      </c>
      <c r="C233" s="202"/>
    </row>
    <row r="234" ht="17.25" customHeight="1" spans="1:3">
      <c r="A234" s="203" t="s">
        <v>518</v>
      </c>
      <c r="B234" s="204"/>
      <c r="C234" s="205"/>
    </row>
    <row r="235" ht="17.25" customHeight="1" spans="1:3">
      <c r="A235" s="203" t="s">
        <v>519</v>
      </c>
      <c r="B235" s="204"/>
      <c r="C235" s="205"/>
    </row>
    <row r="236" ht="17.25" customHeight="1" spans="1:3">
      <c r="A236" s="203" t="s">
        <v>644</v>
      </c>
      <c r="B236" s="204"/>
      <c r="C236" s="205"/>
    </row>
    <row r="237" ht="17.25" customHeight="1" spans="1:3">
      <c r="A237" s="203" t="s">
        <v>645</v>
      </c>
      <c r="B237" s="204"/>
      <c r="C237" s="205"/>
    </row>
    <row r="238" ht="17.25" customHeight="1" spans="1:3">
      <c r="A238" s="203" t="s">
        <v>559</v>
      </c>
      <c r="B238" s="204"/>
      <c r="C238" s="205"/>
    </row>
    <row r="239" ht="17.25" customHeight="1" spans="1:3">
      <c r="A239" s="203" t="s">
        <v>646</v>
      </c>
      <c r="B239" s="204"/>
      <c r="C239" s="205"/>
    </row>
    <row r="240" ht="17.25" customHeight="1" spans="1:3">
      <c r="A240" s="203" t="s">
        <v>647</v>
      </c>
      <c r="B240" s="204"/>
      <c r="C240" s="205"/>
    </row>
    <row r="241" ht="17.25" customHeight="1" spans="1:3">
      <c r="A241" s="203" t="s">
        <v>648</v>
      </c>
      <c r="B241" s="204"/>
      <c r="C241" s="205"/>
    </row>
    <row r="242" ht="17.25" customHeight="1" spans="1:3">
      <c r="A242" s="203" t="s">
        <v>649</v>
      </c>
      <c r="B242" s="204"/>
      <c r="C242" s="205"/>
    </row>
    <row r="243" ht="17.25" customHeight="1" spans="1:3">
      <c r="A243" s="203" t="s">
        <v>650</v>
      </c>
      <c r="B243" s="204"/>
      <c r="C243" s="205"/>
    </row>
    <row r="244" ht="17.25" customHeight="1" spans="1:3">
      <c r="A244" s="203" t="s">
        <v>651</v>
      </c>
      <c r="B244" s="204"/>
      <c r="C244" s="205"/>
    </row>
    <row r="245" ht="17.25" customHeight="1" spans="1:3">
      <c r="A245" s="198" t="s">
        <v>526</v>
      </c>
      <c r="B245" s="201">
        <v>109</v>
      </c>
      <c r="C245" s="202"/>
    </row>
    <row r="246" ht="17.25" customHeight="1" spans="1:3">
      <c r="A246" s="198" t="s">
        <v>652</v>
      </c>
      <c r="B246" s="201">
        <v>15</v>
      </c>
      <c r="C246" s="202"/>
    </row>
    <row r="247" ht="17.25" customHeight="1" spans="1:3">
      <c r="A247" s="198" t="s">
        <v>653</v>
      </c>
      <c r="B247" s="199">
        <f>SUM(B248:B249)</f>
        <v>6</v>
      </c>
      <c r="C247" s="200"/>
    </row>
    <row r="248" ht="17.25" customHeight="1" spans="1:3">
      <c r="A248" s="203" t="s">
        <v>654</v>
      </c>
      <c r="B248" s="204"/>
      <c r="C248" s="205"/>
    </row>
    <row r="249" ht="17.25" customHeight="1" spans="1:3">
      <c r="A249" s="198" t="s">
        <v>655</v>
      </c>
      <c r="B249" s="201">
        <v>6</v>
      </c>
      <c r="C249" s="202"/>
    </row>
    <row r="250" ht="17.25" customHeight="1" spans="1:3">
      <c r="A250" s="203" t="s">
        <v>38</v>
      </c>
      <c r="B250" s="206">
        <f>SUM(B251:B252)</f>
        <v>0</v>
      </c>
      <c r="C250" s="207"/>
    </row>
    <row r="251" ht="17.25" customHeight="1" spans="1:3">
      <c r="A251" s="203" t="s">
        <v>656</v>
      </c>
      <c r="B251" s="204"/>
      <c r="C251" s="205"/>
    </row>
    <row r="252" ht="17.25" customHeight="1" spans="1:3">
      <c r="A252" s="203" t="s">
        <v>657</v>
      </c>
      <c r="B252" s="204"/>
      <c r="C252" s="205"/>
    </row>
    <row r="253" ht="17.25" customHeight="1" spans="1:3">
      <c r="A253" s="203" t="s">
        <v>39</v>
      </c>
      <c r="B253" s="206">
        <f>B254+B264</f>
        <v>0</v>
      </c>
      <c r="C253" s="207"/>
    </row>
    <row r="254" ht="17.25" customHeight="1" spans="1:3">
      <c r="A254" s="203" t="s">
        <v>658</v>
      </c>
      <c r="B254" s="206">
        <f>SUM(B255:B263)</f>
        <v>0</v>
      </c>
      <c r="C254" s="207"/>
    </row>
    <row r="255" ht="17.25" customHeight="1" spans="1:3">
      <c r="A255" s="203" t="s">
        <v>659</v>
      </c>
      <c r="B255" s="204"/>
      <c r="C255" s="205"/>
    </row>
    <row r="256" ht="17.25" customHeight="1" spans="1:3">
      <c r="A256" s="203" t="s">
        <v>660</v>
      </c>
      <c r="B256" s="204"/>
      <c r="C256" s="205"/>
    </row>
    <row r="257" ht="17.25" customHeight="1" spans="1:3">
      <c r="A257" s="203" t="s">
        <v>661</v>
      </c>
      <c r="B257" s="204"/>
      <c r="C257" s="205"/>
    </row>
    <row r="258" ht="17.25" customHeight="1" spans="1:3">
      <c r="A258" s="203" t="s">
        <v>662</v>
      </c>
      <c r="B258" s="204"/>
      <c r="C258" s="205"/>
    </row>
    <row r="259" ht="17.25" customHeight="1" spans="1:3">
      <c r="A259" s="203" t="s">
        <v>663</v>
      </c>
      <c r="B259" s="204"/>
      <c r="C259" s="205"/>
    </row>
    <row r="260" ht="17.25" customHeight="1" spans="1:3">
      <c r="A260" s="203" t="s">
        <v>664</v>
      </c>
      <c r="B260" s="204"/>
      <c r="C260" s="205"/>
    </row>
    <row r="261" ht="17.25" customHeight="1" spans="1:3">
      <c r="A261" s="203" t="s">
        <v>665</v>
      </c>
      <c r="B261" s="204"/>
      <c r="C261" s="205"/>
    </row>
    <row r="262" ht="17.25" customHeight="1" spans="1:3">
      <c r="A262" s="203" t="s">
        <v>666</v>
      </c>
      <c r="B262" s="204"/>
      <c r="C262" s="205"/>
    </row>
    <row r="263" ht="17.25" customHeight="1" spans="1:3">
      <c r="A263" s="203" t="s">
        <v>667</v>
      </c>
      <c r="B263" s="204"/>
      <c r="C263" s="205"/>
    </row>
    <row r="264" ht="17.25" customHeight="1" spans="1:3">
      <c r="A264" s="203" t="s">
        <v>668</v>
      </c>
      <c r="B264" s="204"/>
      <c r="C264" s="205"/>
    </row>
    <row r="265" ht="17.25" customHeight="1" spans="1:3">
      <c r="A265" s="198" t="s">
        <v>40</v>
      </c>
      <c r="B265" s="199">
        <f>B266+B269+B280+B287+B295+B304+B320+B330+B340+B348+B354</f>
        <v>8810</v>
      </c>
      <c r="C265" s="200"/>
    </row>
    <row r="266" ht="17.25" customHeight="1" spans="1:3">
      <c r="A266" s="203" t="s">
        <v>669</v>
      </c>
      <c r="B266" s="206">
        <f>SUM(B267:B268)</f>
        <v>0</v>
      </c>
      <c r="C266" s="207"/>
    </row>
    <row r="267" ht="17.25" customHeight="1" spans="1:3">
      <c r="A267" s="203" t="s">
        <v>670</v>
      </c>
      <c r="B267" s="204"/>
      <c r="C267" s="205"/>
    </row>
    <row r="268" ht="17.25" customHeight="1" spans="1:3">
      <c r="A268" s="203" t="s">
        <v>671</v>
      </c>
      <c r="B268" s="204"/>
      <c r="C268" s="205"/>
    </row>
    <row r="269" ht="17.25" customHeight="1" spans="1:3">
      <c r="A269" s="198" t="s">
        <v>672</v>
      </c>
      <c r="B269" s="199">
        <f>SUM(B270:B279)</f>
        <v>5371</v>
      </c>
      <c r="C269" s="200"/>
    </row>
    <row r="270" ht="17.25" customHeight="1" spans="1:3">
      <c r="A270" s="198" t="s">
        <v>517</v>
      </c>
      <c r="B270" s="201">
        <f>189+4900+189</f>
        <v>5278</v>
      </c>
      <c r="C270" s="202"/>
    </row>
    <row r="271" ht="17.25" customHeight="1" spans="1:3">
      <c r="A271" s="203" t="s">
        <v>518</v>
      </c>
      <c r="B271" s="204"/>
      <c r="C271" s="205"/>
    </row>
    <row r="272" ht="17.25" customHeight="1" spans="1:3">
      <c r="A272" s="203" t="s">
        <v>519</v>
      </c>
      <c r="B272" s="204"/>
      <c r="C272" s="205"/>
    </row>
    <row r="273" ht="17.25" customHeight="1" spans="1:3">
      <c r="A273" s="203" t="s">
        <v>559</v>
      </c>
      <c r="B273" s="204"/>
      <c r="C273" s="205"/>
    </row>
    <row r="274" ht="17.25" customHeight="1" spans="1:3">
      <c r="A274" s="203" t="s">
        <v>673</v>
      </c>
      <c r="B274" s="204"/>
      <c r="C274" s="205"/>
    </row>
    <row r="275" ht="17.25" customHeight="1" spans="1:3">
      <c r="A275" s="203" t="s">
        <v>674</v>
      </c>
      <c r="B275" s="204"/>
      <c r="C275" s="205"/>
    </row>
    <row r="276" ht="17.25" customHeight="1" spans="1:3">
      <c r="A276" s="203" t="s">
        <v>675</v>
      </c>
      <c r="B276" s="204"/>
      <c r="C276" s="205"/>
    </row>
    <row r="277" ht="17.25" customHeight="1" spans="1:3">
      <c r="A277" s="203" t="s">
        <v>676</v>
      </c>
      <c r="B277" s="204"/>
      <c r="C277" s="205"/>
    </row>
    <row r="278" ht="17.25" customHeight="1" spans="1:3">
      <c r="A278" s="198" t="s">
        <v>526</v>
      </c>
      <c r="B278" s="201">
        <v>93</v>
      </c>
      <c r="C278" s="202"/>
    </row>
    <row r="279" ht="17.25" customHeight="1" spans="1:3">
      <c r="A279" s="203" t="s">
        <v>677</v>
      </c>
      <c r="B279" s="204"/>
      <c r="C279" s="205"/>
    </row>
    <row r="280" ht="17.25" customHeight="1" spans="1:3">
      <c r="A280" s="203" t="s">
        <v>678</v>
      </c>
      <c r="B280" s="206">
        <f>SUM(B281:B286)</f>
        <v>0</v>
      </c>
      <c r="C280" s="207"/>
    </row>
    <row r="281" ht="17.25" customHeight="1" spans="1:3">
      <c r="A281" s="203" t="s">
        <v>517</v>
      </c>
      <c r="B281" s="204"/>
      <c r="C281" s="205"/>
    </row>
    <row r="282" ht="17.25" customHeight="1" spans="1:3">
      <c r="A282" s="203" t="s">
        <v>518</v>
      </c>
      <c r="B282" s="204"/>
      <c r="C282" s="205"/>
    </row>
    <row r="283" ht="17.25" customHeight="1" spans="1:3">
      <c r="A283" s="203" t="s">
        <v>519</v>
      </c>
      <c r="B283" s="204"/>
      <c r="C283" s="205"/>
    </row>
    <row r="284" ht="17.25" customHeight="1" spans="1:3">
      <c r="A284" s="203" t="s">
        <v>679</v>
      </c>
      <c r="B284" s="204"/>
      <c r="C284" s="205"/>
    </row>
    <row r="285" ht="17.25" customHeight="1" spans="1:3">
      <c r="A285" s="203" t="s">
        <v>526</v>
      </c>
      <c r="B285" s="204"/>
      <c r="C285" s="205"/>
    </row>
    <row r="286" ht="17.25" customHeight="1" spans="1:3">
      <c r="A286" s="203" t="s">
        <v>680</v>
      </c>
      <c r="B286" s="204"/>
      <c r="C286" s="205"/>
    </row>
    <row r="287" ht="17.25" customHeight="1" spans="1:3">
      <c r="A287" s="198" t="s">
        <v>681</v>
      </c>
      <c r="B287" s="199">
        <f>SUM(B288:B294)</f>
        <v>776</v>
      </c>
      <c r="C287" s="200"/>
    </row>
    <row r="288" ht="17.25" customHeight="1" spans="1:3">
      <c r="A288" s="198" t="s">
        <v>517</v>
      </c>
      <c r="B288" s="201">
        <f>41+694+41</f>
        <v>776</v>
      </c>
      <c r="C288" s="202"/>
    </row>
    <row r="289" ht="17.25" customHeight="1" spans="1:3">
      <c r="A289" s="203" t="s">
        <v>518</v>
      </c>
      <c r="B289" s="204"/>
      <c r="C289" s="205"/>
    </row>
    <row r="290" ht="17.25" customHeight="1" spans="1:3">
      <c r="A290" s="203" t="s">
        <v>519</v>
      </c>
      <c r="B290" s="204"/>
      <c r="C290" s="205"/>
    </row>
    <row r="291" ht="17.25" customHeight="1" spans="1:3">
      <c r="A291" s="203" t="s">
        <v>682</v>
      </c>
      <c r="B291" s="204"/>
      <c r="C291" s="205"/>
    </row>
    <row r="292" ht="17.25" customHeight="1" spans="1:3">
      <c r="A292" s="203" t="s">
        <v>683</v>
      </c>
      <c r="B292" s="204"/>
      <c r="C292" s="205"/>
    </row>
    <row r="293" ht="17.25" customHeight="1" spans="1:3">
      <c r="A293" s="203" t="s">
        <v>526</v>
      </c>
      <c r="B293" s="204"/>
      <c r="C293" s="205"/>
    </row>
    <row r="294" ht="17.25" customHeight="1" spans="1:3">
      <c r="A294" s="203" t="s">
        <v>684</v>
      </c>
      <c r="B294" s="204"/>
      <c r="C294" s="205"/>
    </row>
    <row r="295" ht="17.25" customHeight="1" spans="1:3">
      <c r="A295" s="198" t="s">
        <v>685</v>
      </c>
      <c r="B295" s="199">
        <f>SUM(B296:B303)</f>
        <v>1611</v>
      </c>
      <c r="C295" s="200"/>
    </row>
    <row r="296" ht="17.25" customHeight="1" spans="1:3">
      <c r="A296" s="198" t="s">
        <v>517</v>
      </c>
      <c r="B296" s="201">
        <f>68+1473+68</f>
        <v>1609</v>
      </c>
      <c r="C296" s="202"/>
    </row>
    <row r="297" ht="17.25" customHeight="1" spans="1:3">
      <c r="A297" s="203" t="s">
        <v>518</v>
      </c>
      <c r="B297" s="204"/>
      <c r="C297" s="205"/>
    </row>
    <row r="298" ht="17.25" customHeight="1" spans="1:3">
      <c r="A298" s="203" t="s">
        <v>519</v>
      </c>
      <c r="B298" s="204"/>
      <c r="C298" s="205"/>
    </row>
    <row r="299" ht="17.25" customHeight="1" spans="1:3">
      <c r="A299" s="203" t="s">
        <v>686</v>
      </c>
      <c r="B299" s="204"/>
      <c r="C299" s="205"/>
    </row>
    <row r="300" ht="17.25" customHeight="1" spans="1:3">
      <c r="A300" s="203" t="s">
        <v>687</v>
      </c>
      <c r="B300" s="204"/>
      <c r="C300" s="205"/>
    </row>
    <row r="301" ht="17.25" customHeight="1" spans="1:3">
      <c r="A301" s="203" t="s">
        <v>688</v>
      </c>
      <c r="B301" s="204"/>
      <c r="C301" s="205"/>
    </row>
    <row r="302" ht="17.25" customHeight="1" spans="1:3">
      <c r="A302" s="198" t="s">
        <v>526</v>
      </c>
      <c r="B302" s="201">
        <v>2</v>
      </c>
      <c r="C302" s="202"/>
    </row>
    <row r="303" ht="17.25" customHeight="1" spans="1:3">
      <c r="A303" s="203" t="s">
        <v>689</v>
      </c>
      <c r="B303" s="204"/>
      <c r="C303" s="205"/>
    </row>
    <row r="304" ht="17.25" customHeight="1" spans="1:3">
      <c r="A304" s="198" t="s">
        <v>690</v>
      </c>
      <c r="B304" s="199">
        <f>SUM(B305:B319)</f>
        <v>1052</v>
      </c>
      <c r="C304" s="200"/>
    </row>
    <row r="305" ht="17.25" customHeight="1" spans="1:3">
      <c r="A305" s="198" t="s">
        <v>517</v>
      </c>
      <c r="B305" s="201">
        <f>46+960+46</f>
        <v>1052</v>
      </c>
      <c r="C305" s="202"/>
    </row>
    <row r="306" ht="17.25" customHeight="1" spans="1:3">
      <c r="A306" s="203" t="s">
        <v>518</v>
      </c>
      <c r="B306" s="204"/>
      <c r="C306" s="205"/>
    </row>
    <row r="307" ht="17.25" customHeight="1" spans="1:3">
      <c r="A307" s="203" t="s">
        <v>519</v>
      </c>
      <c r="B307" s="204"/>
      <c r="C307" s="205"/>
    </row>
    <row r="308" ht="17.25" customHeight="1" spans="1:3">
      <c r="A308" s="203" t="s">
        <v>691</v>
      </c>
      <c r="B308" s="204"/>
      <c r="C308" s="205"/>
    </row>
    <row r="309" ht="17.25" customHeight="1" spans="1:3">
      <c r="A309" s="203" t="s">
        <v>692</v>
      </c>
      <c r="B309" s="204"/>
      <c r="C309" s="205"/>
    </row>
    <row r="310" ht="17.25" customHeight="1" spans="1:3">
      <c r="A310" s="203" t="s">
        <v>693</v>
      </c>
      <c r="B310" s="204"/>
      <c r="C310" s="205"/>
    </row>
    <row r="311" ht="17.25" customHeight="1" spans="1:3">
      <c r="A311" s="203" t="s">
        <v>694</v>
      </c>
      <c r="B311" s="204"/>
      <c r="C311" s="205"/>
    </row>
    <row r="312" ht="17.25" customHeight="1" spans="1:3">
      <c r="A312" s="203" t="s">
        <v>695</v>
      </c>
      <c r="B312" s="204"/>
      <c r="C312" s="205"/>
    </row>
    <row r="313" ht="17.25" customHeight="1" spans="1:3">
      <c r="A313" s="203" t="s">
        <v>696</v>
      </c>
      <c r="B313" s="204"/>
      <c r="C313" s="205"/>
    </row>
    <row r="314" ht="17.25" customHeight="1" spans="1:3">
      <c r="A314" s="203" t="s">
        <v>697</v>
      </c>
      <c r="B314" s="204"/>
      <c r="C314" s="205"/>
    </row>
    <row r="315" ht="17.25" customHeight="1" spans="1:3">
      <c r="A315" s="203" t="s">
        <v>698</v>
      </c>
      <c r="B315" s="204"/>
      <c r="C315" s="205"/>
    </row>
    <row r="316" ht="17.25" customHeight="1" spans="1:3">
      <c r="A316" s="203" t="s">
        <v>699</v>
      </c>
      <c r="B316" s="204"/>
      <c r="C316" s="205"/>
    </row>
    <row r="317" ht="17.25" customHeight="1" spans="1:3">
      <c r="A317" s="203" t="s">
        <v>559</v>
      </c>
      <c r="B317" s="204"/>
      <c r="C317" s="205"/>
    </row>
    <row r="318" ht="17.25" customHeight="1" spans="1:3">
      <c r="A318" s="203" t="s">
        <v>526</v>
      </c>
      <c r="B318" s="204"/>
      <c r="C318" s="205"/>
    </row>
    <row r="319" ht="17.25" customHeight="1" spans="1:3">
      <c r="A319" s="203" t="s">
        <v>700</v>
      </c>
      <c r="B319" s="204"/>
      <c r="C319" s="205"/>
    </row>
    <row r="320" ht="17.25" customHeight="1" spans="1:3">
      <c r="A320" s="203" t="s">
        <v>701</v>
      </c>
      <c r="B320" s="206">
        <f>SUM(B321:B329)</f>
        <v>0</v>
      </c>
      <c r="C320" s="207"/>
    </row>
    <row r="321" ht="17.25" customHeight="1" spans="1:3">
      <c r="A321" s="203" t="s">
        <v>517</v>
      </c>
      <c r="B321" s="204"/>
      <c r="C321" s="205"/>
    </row>
    <row r="322" ht="17.25" customHeight="1" spans="1:3">
      <c r="A322" s="203" t="s">
        <v>518</v>
      </c>
      <c r="B322" s="204"/>
      <c r="C322" s="205"/>
    </row>
    <row r="323" ht="17.25" customHeight="1" spans="1:3">
      <c r="A323" s="203" t="s">
        <v>519</v>
      </c>
      <c r="B323" s="204"/>
      <c r="C323" s="205"/>
    </row>
    <row r="324" ht="17.25" customHeight="1" spans="1:3">
      <c r="A324" s="203" t="s">
        <v>702</v>
      </c>
      <c r="B324" s="204"/>
      <c r="C324" s="205"/>
    </row>
    <row r="325" ht="17.25" customHeight="1" spans="1:3">
      <c r="A325" s="203" t="s">
        <v>703</v>
      </c>
      <c r="B325" s="204"/>
      <c r="C325" s="205"/>
    </row>
    <row r="326" ht="17.25" customHeight="1" spans="1:3">
      <c r="A326" s="203" t="s">
        <v>704</v>
      </c>
      <c r="B326" s="204"/>
      <c r="C326" s="205"/>
    </row>
    <row r="327" ht="17.25" customHeight="1" spans="1:3">
      <c r="A327" s="203" t="s">
        <v>559</v>
      </c>
      <c r="B327" s="204"/>
      <c r="C327" s="205"/>
    </row>
    <row r="328" ht="17.25" customHeight="1" spans="1:3">
      <c r="A328" s="203" t="s">
        <v>526</v>
      </c>
      <c r="B328" s="204"/>
      <c r="C328" s="205"/>
    </row>
    <row r="329" ht="17.25" customHeight="1" spans="1:3">
      <c r="A329" s="203" t="s">
        <v>705</v>
      </c>
      <c r="B329" s="204"/>
      <c r="C329" s="205"/>
    </row>
    <row r="330" ht="17.25" customHeight="1" spans="1:3">
      <c r="A330" s="203" t="s">
        <v>706</v>
      </c>
      <c r="B330" s="206">
        <f>SUM(B331:B339)</f>
        <v>0</v>
      </c>
      <c r="C330" s="207"/>
    </row>
    <row r="331" ht="17.25" customHeight="1" spans="1:3">
      <c r="A331" s="203" t="s">
        <v>517</v>
      </c>
      <c r="B331" s="204"/>
      <c r="C331" s="205"/>
    </row>
    <row r="332" ht="17.25" customHeight="1" spans="1:3">
      <c r="A332" s="203" t="s">
        <v>518</v>
      </c>
      <c r="B332" s="204"/>
      <c r="C332" s="205"/>
    </row>
    <row r="333" ht="17.25" customHeight="1" spans="1:3">
      <c r="A333" s="203" t="s">
        <v>519</v>
      </c>
      <c r="B333" s="204"/>
      <c r="C333" s="205"/>
    </row>
    <row r="334" ht="17.25" customHeight="1" spans="1:3">
      <c r="A334" s="203" t="s">
        <v>707</v>
      </c>
      <c r="B334" s="204"/>
      <c r="C334" s="205"/>
    </row>
    <row r="335" ht="17.25" customHeight="1" spans="1:3">
      <c r="A335" s="203" t="s">
        <v>708</v>
      </c>
      <c r="B335" s="204"/>
      <c r="C335" s="205"/>
    </row>
    <row r="336" ht="17.25" customHeight="1" spans="1:3">
      <c r="A336" s="203" t="s">
        <v>709</v>
      </c>
      <c r="B336" s="204"/>
      <c r="C336" s="205"/>
    </row>
    <row r="337" ht="17.25" customHeight="1" spans="1:3">
      <c r="A337" s="203" t="s">
        <v>559</v>
      </c>
      <c r="B337" s="204"/>
      <c r="C337" s="205"/>
    </row>
    <row r="338" ht="17.25" customHeight="1" spans="1:3">
      <c r="A338" s="203" t="s">
        <v>526</v>
      </c>
      <c r="B338" s="204"/>
      <c r="C338" s="205"/>
    </row>
    <row r="339" ht="17.25" customHeight="1" spans="1:3">
      <c r="A339" s="203" t="s">
        <v>710</v>
      </c>
      <c r="B339" s="204"/>
      <c r="C339" s="205"/>
    </row>
    <row r="340" ht="17.25" customHeight="1" spans="1:3">
      <c r="A340" s="203" t="s">
        <v>711</v>
      </c>
      <c r="B340" s="206">
        <f>SUM(B341:B347)</f>
        <v>0</v>
      </c>
      <c r="C340" s="207"/>
    </row>
    <row r="341" ht="17.25" customHeight="1" spans="1:3">
      <c r="A341" s="203" t="s">
        <v>517</v>
      </c>
      <c r="B341" s="204"/>
      <c r="C341" s="205"/>
    </row>
    <row r="342" ht="17.25" customHeight="1" spans="1:3">
      <c r="A342" s="203" t="s">
        <v>518</v>
      </c>
      <c r="B342" s="204"/>
      <c r="C342" s="205"/>
    </row>
    <row r="343" ht="17.25" customHeight="1" spans="1:3">
      <c r="A343" s="203" t="s">
        <v>519</v>
      </c>
      <c r="B343" s="204"/>
      <c r="C343" s="205"/>
    </row>
    <row r="344" ht="17.25" customHeight="1" spans="1:3">
      <c r="A344" s="203" t="s">
        <v>712</v>
      </c>
      <c r="B344" s="204"/>
      <c r="C344" s="205"/>
    </row>
    <row r="345" ht="17.25" customHeight="1" spans="1:3">
      <c r="A345" s="203" t="s">
        <v>713</v>
      </c>
      <c r="B345" s="204"/>
      <c r="C345" s="205"/>
    </row>
    <row r="346" ht="17.25" customHeight="1" spans="1:3">
      <c r="A346" s="203" t="s">
        <v>526</v>
      </c>
      <c r="B346" s="204"/>
      <c r="C346" s="205"/>
    </row>
    <row r="347" ht="17.25" customHeight="1" spans="1:3">
      <c r="A347" s="203" t="s">
        <v>714</v>
      </c>
      <c r="B347" s="204"/>
      <c r="C347" s="205"/>
    </row>
    <row r="348" ht="17.25" customHeight="1" spans="1:3">
      <c r="A348" s="203" t="s">
        <v>715</v>
      </c>
      <c r="B348" s="206">
        <f>SUM(B349:B353)</f>
        <v>0</v>
      </c>
      <c r="C348" s="207"/>
    </row>
    <row r="349" ht="17.25" customHeight="1" spans="1:3">
      <c r="A349" s="203" t="s">
        <v>517</v>
      </c>
      <c r="B349" s="204"/>
      <c r="C349" s="205"/>
    </row>
    <row r="350" ht="17.25" customHeight="1" spans="1:3">
      <c r="A350" s="203" t="s">
        <v>518</v>
      </c>
      <c r="B350" s="204"/>
      <c r="C350" s="205"/>
    </row>
    <row r="351" ht="17.25" customHeight="1" spans="1:3">
      <c r="A351" s="203" t="s">
        <v>559</v>
      </c>
      <c r="B351" s="204"/>
      <c r="C351" s="205"/>
    </row>
    <row r="352" ht="17.25" customHeight="1" spans="1:3">
      <c r="A352" s="203" t="s">
        <v>716</v>
      </c>
      <c r="B352" s="204"/>
      <c r="C352" s="205"/>
    </row>
    <row r="353" ht="17.25" customHeight="1" spans="1:3">
      <c r="A353" s="203" t="s">
        <v>717</v>
      </c>
      <c r="B353" s="204"/>
      <c r="C353" s="205"/>
    </row>
    <row r="354" ht="17.25" customHeight="1" spans="1:3">
      <c r="A354" s="203" t="s">
        <v>718</v>
      </c>
      <c r="B354" s="206">
        <f>SUM(B355)</f>
        <v>0</v>
      </c>
      <c r="C354" s="207"/>
    </row>
    <row r="355" ht="17.25" customHeight="1" spans="1:3">
      <c r="A355" s="203" t="s">
        <v>719</v>
      </c>
      <c r="B355" s="204"/>
      <c r="C355" s="205"/>
    </row>
    <row r="356" ht="17.25" customHeight="1" spans="1:3">
      <c r="A356" s="198" t="s">
        <v>41</v>
      </c>
      <c r="B356" s="199">
        <f>B357+B362+B371+B377+B383+B387+B391+B395+B401+B408</f>
        <v>79186</v>
      </c>
      <c r="C356" s="200"/>
    </row>
    <row r="357" ht="17.25" customHeight="1" spans="1:3">
      <c r="A357" s="198" t="s">
        <v>720</v>
      </c>
      <c r="B357" s="199">
        <f>SUM(B358:B361)</f>
        <v>867</v>
      </c>
      <c r="C357" s="200"/>
    </row>
    <row r="358" ht="17.25" customHeight="1" spans="1:3">
      <c r="A358" s="198" t="s">
        <v>517</v>
      </c>
      <c r="B358" s="201">
        <f>22+416+22</f>
        <v>460</v>
      </c>
      <c r="C358" s="202"/>
    </row>
    <row r="359" ht="17.25" customHeight="1" spans="1:3">
      <c r="A359" s="203" t="s">
        <v>518</v>
      </c>
      <c r="B359" s="204"/>
      <c r="C359" s="205"/>
    </row>
    <row r="360" ht="17.25" customHeight="1" spans="1:3">
      <c r="A360" s="203" t="s">
        <v>519</v>
      </c>
      <c r="B360" s="204"/>
      <c r="C360" s="205"/>
    </row>
    <row r="361" ht="17.25" customHeight="1" spans="1:3">
      <c r="A361" s="198" t="s">
        <v>721</v>
      </c>
      <c r="B361" s="201">
        <f>19+369+19</f>
        <v>407</v>
      </c>
      <c r="C361" s="202"/>
    </row>
    <row r="362" ht="17.25" customHeight="1" spans="1:3">
      <c r="A362" s="198" t="s">
        <v>722</v>
      </c>
      <c r="B362" s="199">
        <f>SUM(B363:B370)</f>
        <v>75002</v>
      </c>
      <c r="C362" s="200"/>
    </row>
    <row r="363" ht="17.25" customHeight="1" spans="1:3">
      <c r="A363" s="198" t="s">
        <v>723</v>
      </c>
      <c r="B363" s="201">
        <f>9+208+9+1000</f>
        <v>1226</v>
      </c>
      <c r="C363" s="202"/>
    </row>
    <row r="364" ht="17.25" customHeight="1" spans="1:3">
      <c r="A364" s="198" t="s">
        <v>724</v>
      </c>
      <c r="B364" s="201">
        <f>1131+32799+1131+2059+5000</f>
        <v>42120</v>
      </c>
      <c r="C364" s="202"/>
    </row>
    <row r="365" ht="17.25" customHeight="1" spans="1:3">
      <c r="A365" s="198" t="s">
        <v>725</v>
      </c>
      <c r="B365" s="201">
        <f>827+8839+827+4546</f>
        <v>15039</v>
      </c>
      <c r="C365" s="202"/>
    </row>
    <row r="366" ht="17.25" customHeight="1" spans="1:3">
      <c r="A366" s="198" t="s">
        <v>726</v>
      </c>
      <c r="B366" s="201">
        <f>1122+15495</f>
        <v>16617</v>
      </c>
      <c r="C366" s="202"/>
    </row>
    <row r="367" ht="17.25" customHeight="1" spans="1:3">
      <c r="A367" s="203" t="s">
        <v>727</v>
      </c>
      <c r="B367" s="204"/>
      <c r="C367" s="205"/>
    </row>
    <row r="368" ht="17.25" customHeight="1" spans="1:3">
      <c r="A368" s="203" t="s">
        <v>728</v>
      </c>
      <c r="B368" s="204"/>
      <c r="C368" s="205"/>
    </row>
    <row r="369" ht="17.25" customHeight="1" spans="1:3">
      <c r="A369" s="203" t="s">
        <v>729</v>
      </c>
      <c r="B369" s="204"/>
      <c r="C369" s="205"/>
    </row>
    <row r="370" ht="17.25" customHeight="1" spans="1:3">
      <c r="A370" s="203" t="s">
        <v>730</v>
      </c>
      <c r="B370" s="204"/>
      <c r="C370" s="205"/>
    </row>
    <row r="371" ht="17.25" customHeight="1" spans="1:3">
      <c r="A371" s="198" t="s">
        <v>731</v>
      </c>
      <c r="B371" s="199">
        <f>SUM(B372:B376)</f>
        <v>3068</v>
      </c>
      <c r="C371" s="200"/>
    </row>
    <row r="372" ht="17.25" customHeight="1" spans="1:3">
      <c r="A372" s="203" t="s">
        <v>732</v>
      </c>
      <c r="B372" s="204"/>
      <c r="C372" s="205"/>
    </row>
    <row r="373" ht="17.25" customHeight="1" spans="1:3">
      <c r="A373" s="198" t="s">
        <v>733</v>
      </c>
      <c r="B373" s="201">
        <f>88+2212+88+680</f>
        <v>3068</v>
      </c>
      <c r="C373" s="202"/>
    </row>
    <row r="374" ht="17.25" customHeight="1" spans="1:3">
      <c r="A374" s="203" t="s">
        <v>734</v>
      </c>
      <c r="B374" s="204"/>
      <c r="C374" s="205"/>
    </row>
    <row r="375" ht="17.25" customHeight="1" spans="1:3">
      <c r="A375" s="203" t="s">
        <v>735</v>
      </c>
      <c r="B375" s="204"/>
      <c r="C375" s="205"/>
    </row>
    <row r="376" ht="17.25" customHeight="1" spans="1:3">
      <c r="A376" s="203" t="s">
        <v>736</v>
      </c>
      <c r="B376" s="204"/>
      <c r="C376" s="205"/>
    </row>
    <row r="377" ht="17.25" customHeight="1" spans="1:3">
      <c r="A377" s="198" t="s">
        <v>737</v>
      </c>
      <c r="B377" s="199">
        <f>SUM(B378:B382)</f>
        <v>70</v>
      </c>
      <c r="C377" s="200"/>
    </row>
    <row r="378" ht="17.25" customHeight="1" spans="1:3">
      <c r="A378" s="203" t="s">
        <v>738</v>
      </c>
      <c r="B378" s="204"/>
      <c r="C378" s="205"/>
    </row>
    <row r="379" ht="17.25" customHeight="1" spans="1:3">
      <c r="A379" s="203" t="s">
        <v>739</v>
      </c>
      <c r="B379" s="204"/>
      <c r="C379" s="205"/>
    </row>
    <row r="380" ht="17.25" customHeight="1" spans="1:3">
      <c r="A380" s="203" t="s">
        <v>740</v>
      </c>
      <c r="B380" s="204"/>
      <c r="C380" s="205"/>
    </row>
    <row r="381" ht="17.25" customHeight="1" spans="1:3">
      <c r="A381" s="198" t="s">
        <v>741</v>
      </c>
      <c r="B381" s="201">
        <f>3+64+3</f>
        <v>70</v>
      </c>
      <c r="C381" s="202"/>
    </row>
    <row r="382" ht="17.25" customHeight="1" spans="1:3">
      <c r="A382" s="203" t="s">
        <v>742</v>
      </c>
      <c r="B382" s="204"/>
      <c r="C382" s="205"/>
    </row>
    <row r="383" ht="17.25" customHeight="1" spans="1:3">
      <c r="A383" s="203" t="s">
        <v>743</v>
      </c>
      <c r="B383" s="206">
        <f>SUM(B384:B386)</f>
        <v>0</v>
      </c>
      <c r="C383" s="207"/>
    </row>
    <row r="384" ht="17.25" customHeight="1" spans="1:3">
      <c r="A384" s="203" t="s">
        <v>744</v>
      </c>
      <c r="B384" s="204"/>
      <c r="C384" s="205"/>
    </row>
    <row r="385" ht="17.25" customHeight="1" spans="1:3">
      <c r="A385" s="203" t="s">
        <v>745</v>
      </c>
      <c r="B385" s="204"/>
      <c r="C385" s="205"/>
    </row>
    <row r="386" ht="17.25" customHeight="1" spans="1:3">
      <c r="A386" s="203" t="s">
        <v>746</v>
      </c>
      <c r="B386" s="204"/>
      <c r="C386" s="205"/>
    </row>
    <row r="387" ht="17.25" customHeight="1" spans="1:3">
      <c r="A387" s="203" t="s">
        <v>747</v>
      </c>
      <c r="B387" s="206">
        <f>SUM(B388:B390)</f>
        <v>0</v>
      </c>
      <c r="C387" s="207"/>
    </row>
    <row r="388" ht="17.25" customHeight="1" spans="1:3">
      <c r="A388" s="203" t="s">
        <v>748</v>
      </c>
      <c r="B388" s="204"/>
      <c r="C388" s="205"/>
    </row>
    <row r="389" ht="17.25" customHeight="1" spans="1:3">
      <c r="A389" s="203" t="s">
        <v>749</v>
      </c>
      <c r="B389" s="204"/>
      <c r="C389" s="205"/>
    </row>
    <row r="390" ht="17.25" customHeight="1" spans="1:3">
      <c r="A390" s="203" t="s">
        <v>750</v>
      </c>
      <c r="B390" s="204"/>
      <c r="C390" s="205"/>
    </row>
    <row r="391" ht="17.25" customHeight="1" spans="1:3">
      <c r="A391" s="203" t="s">
        <v>751</v>
      </c>
      <c r="B391" s="206">
        <f>SUM(B392:B394)</f>
        <v>0</v>
      </c>
      <c r="C391" s="207"/>
    </row>
    <row r="392" ht="17.25" customHeight="1" spans="1:3">
      <c r="A392" s="203" t="s">
        <v>752</v>
      </c>
      <c r="B392" s="204"/>
      <c r="C392" s="205"/>
    </row>
    <row r="393" ht="17.25" customHeight="1" spans="1:3">
      <c r="A393" s="203" t="s">
        <v>753</v>
      </c>
      <c r="B393" s="204"/>
      <c r="C393" s="205"/>
    </row>
    <row r="394" ht="17.25" customHeight="1" spans="1:3">
      <c r="A394" s="203" t="s">
        <v>754</v>
      </c>
      <c r="B394" s="204"/>
      <c r="C394" s="205"/>
    </row>
    <row r="395" ht="17.25" customHeight="1" spans="1:3">
      <c r="A395" s="198" t="s">
        <v>755</v>
      </c>
      <c r="B395" s="199">
        <f>SUM(B396:B400)</f>
        <v>179</v>
      </c>
      <c r="C395" s="200"/>
    </row>
    <row r="396" ht="17.25" customHeight="1" spans="1:3">
      <c r="A396" s="203" t="s">
        <v>756</v>
      </c>
      <c r="B396" s="204"/>
      <c r="C396" s="205"/>
    </row>
    <row r="397" ht="17.25" customHeight="1" spans="1:3">
      <c r="A397" s="198" t="s">
        <v>757</v>
      </c>
      <c r="B397" s="201">
        <f>9+161+9</f>
        <v>179</v>
      </c>
      <c r="C397" s="202"/>
    </row>
    <row r="398" ht="17.25" customHeight="1" spans="1:3">
      <c r="A398" s="203" t="s">
        <v>758</v>
      </c>
      <c r="B398" s="204"/>
      <c r="C398" s="205"/>
    </row>
    <row r="399" ht="17.25" customHeight="1" spans="1:3">
      <c r="A399" s="203" t="s">
        <v>759</v>
      </c>
      <c r="B399" s="204"/>
      <c r="C399" s="205"/>
    </row>
    <row r="400" ht="17.25" customHeight="1" spans="1:3">
      <c r="A400" s="203" t="s">
        <v>760</v>
      </c>
      <c r="B400" s="204"/>
      <c r="C400" s="205"/>
    </row>
    <row r="401" ht="17.25" customHeight="1" spans="1:3">
      <c r="A401" s="203" t="s">
        <v>761</v>
      </c>
      <c r="B401" s="206">
        <f>SUM(B402:B407)</f>
        <v>0</v>
      </c>
      <c r="C401" s="207"/>
    </row>
    <row r="402" ht="17.25" customHeight="1" spans="1:3">
      <c r="A402" s="203" t="s">
        <v>762</v>
      </c>
      <c r="B402" s="204"/>
      <c r="C402" s="205"/>
    </row>
    <row r="403" ht="17.25" customHeight="1" spans="1:3">
      <c r="A403" s="203" t="s">
        <v>763</v>
      </c>
      <c r="B403" s="204"/>
      <c r="C403" s="205"/>
    </row>
    <row r="404" ht="17.25" customHeight="1" spans="1:3">
      <c r="A404" s="203" t="s">
        <v>764</v>
      </c>
      <c r="B404" s="204"/>
      <c r="C404" s="205"/>
    </row>
    <row r="405" ht="17.25" customHeight="1" spans="1:3">
      <c r="A405" s="203" t="s">
        <v>765</v>
      </c>
      <c r="B405" s="204"/>
      <c r="C405" s="205"/>
    </row>
    <row r="406" ht="17.25" customHeight="1" spans="1:3">
      <c r="A406" s="203" t="s">
        <v>766</v>
      </c>
      <c r="B406" s="204"/>
      <c r="C406" s="205"/>
    </row>
    <row r="407" ht="17.25" customHeight="1" spans="1:3">
      <c r="A407" s="203" t="s">
        <v>767</v>
      </c>
      <c r="B407" s="204"/>
      <c r="C407" s="205"/>
    </row>
    <row r="408" ht="17.25" customHeight="1" spans="1:3">
      <c r="A408" s="203" t="s">
        <v>768</v>
      </c>
      <c r="B408" s="204"/>
      <c r="C408" s="205"/>
    </row>
    <row r="409" ht="17.25" customHeight="1" spans="1:3">
      <c r="A409" s="198" t="s">
        <v>42</v>
      </c>
      <c r="B409" s="199">
        <f>B410+B415+B423+B429+B433+B438+B443+B450+B454+B458</f>
        <v>82</v>
      </c>
      <c r="C409" s="200"/>
    </row>
    <row r="410" ht="17.25" customHeight="1" spans="1:3">
      <c r="A410" s="198" t="s">
        <v>769</v>
      </c>
      <c r="B410" s="199">
        <f>SUM(B411:B414)</f>
        <v>82</v>
      </c>
      <c r="C410" s="200"/>
    </row>
    <row r="411" ht="17.25" customHeight="1" spans="1:3">
      <c r="A411" s="198" t="s">
        <v>517</v>
      </c>
      <c r="B411" s="201">
        <f>4+74+4</f>
        <v>82</v>
      </c>
      <c r="C411" s="202"/>
    </row>
    <row r="412" ht="17.25" customHeight="1" spans="1:3">
      <c r="A412" s="203" t="s">
        <v>518</v>
      </c>
      <c r="B412" s="204"/>
      <c r="C412" s="205"/>
    </row>
    <row r="413" ht="17.25" customHeight="1" spans="1:3">
      <c r="A413" s="203" t="s">
        <v>519</v>
      </c>
      <c r="B413" s="204"/>
      <c r="C413" s="205"/>
    </row>
    <row r="414" ht="17.25" customHeight="1" spans="1:3">
      <c r="A414" s="203" t="s">
        <v>770</v>
      </c>
      <c r="B414" s="204"/>
      <c r="C414" s="205"/>
    </row>
    <row r="415" ht="17.25" customHeight="1" spans="1:3">
      <c r="A415" s="203" t="s">
        <v>771</v>
      </c>
      <c r="B415" s="206">
        <f>SUM(B416:B422)</f>
        <v>0</v>
      </c>
      <c r="C415" s="207"/>
    </row>
    <row r="416" ht="17.25" customHeight="1" spans="1:3">
      <c r="A416" s="203" t="s">
        <v>772</v>
      </c>
      <c r="B416" s="204"/>
      <c r="C416" s="205"/>
    </row>
    <row r="417" ht="17.25" customHeight="1" spans="1:3">
      <c r="A417" s="203" t="s">
        <v>773</v>
      </c>
      <c r="B417" s="204"/>
      <c r="C417" s="205"/>
    </row>
    <row r="418" ht="17.25" customHeight="1" spans="1:3">
      <c r="A418" s="203" t="s">
        <v>774</v>
      </c>
      <c r="B418" s="204"/>
      <c r="C418" s="205"/>
    </row>
    <row r="419" ht="17.25" customHeight="1" spans="1:3">
      <c r="A419" s="203" t="s">
        <v>775</v>
      </c>
      <c r="B419" s="204"/>
      <c r="C419" s="205"/>
    </row>
    <row r="420" ht="17.25" customHeight="1" spans="1:3">
      <c r="A420" s="203" t="s">
        <v>776</v>
      </c>
      <c r="B420" s="204"/>
      <c r="C420" s="205"/>
    </row>
    <row r="421" ht="17.25" customHeight="1" spans="1:3">
      <c r="A421" s="203" t="s">
        <v>777</v>
      </c>
      <c r="B421" s="204"/>
      <c r="C421" s="205"/>
    </row>
    <row r="422" ht="17.25" customHeight="1" spans="1:3">
      <c r="A422" s="203" t="s">
        <v>778</v>
      </c>
      <c r="B422" s="204"/>
      <c r="C422" s="205"/>
    </row>
    <row r="423" ht="17.25" customHeight="1" spans="1:3">
      <c r="A423" s="203" t="s">
        <v>779</v>
      </c>
      <c r="B423" s="206">
        <f>SUM(B424:B428)</f>
        <v>0</v>
      </c>
      <c r="C423" s="207"/>
    </row>
    <row r="424" ht="17.25" customHeight="1" spans="1:3">
      <c r="A424" s="203" t="s">
        <v>772</v>
      </c>
      <c r="B424" s="204"/>
      <c r="C424" s="205"/>
    </row>
    <row r="425" ht="17.25" customHeight="1" spans="1:3">
      <c r="A425" s="203" t="s">
        <v>780</v>
      </c>
      <c r="B425" s="204"/>
      <c r="C425" s="205"/>
    </row>
    <row r="426" ht="17.25" customHeight="1" spans="1:3">
      <c r="A426" s="203" t="s">
        <v>781</v>
      </c>
      <c r="B426" s="204"/>
      <c r="C426" s="205"/>
    </row>
    <row r="427" ht="17.25" customHeight="1" spans="1:3">
      <c r="A427" s="203" t="s">
        <v>782</v>
      </c>
      <c r="B427" s="204"/>
      <c r="C427" s="205"/>
    </row>
    <row r="428" ht="17.25" customHeight="1" spans="1:3">
      <c r="A428" s="203" t="s">
        <v>783</v>
      </c>
      <c r="B428" s="204"/>
      <c r="C428" s="205"/>
    </row>
    <row r="429" ht="17.25" customHeight="1" spans="1:3">
      <c r="A429" s="203" t="s">
        <v>784</v>
      </c>
      <c r="B429" s="206">
        <f>SUM(B430:B432)</f>
        <v>0</v>
      </c>
      <c r="C429" s="207"/>
    </row>
    <row r="430" ht="17.25" customHeight="1" spans="1:3">
      <c r="A430" s="203" t="s">
        <v>772</v>
      </c>
      <c r="B430" s="204"/>
      <c r="C430" s="205"/>
    </row>
    <row r="431" ht="17.25" customHeight="1" spans="1:3">
      <c r="A431" s="203" t="s">
        <v>785</v>
      </c>
      <c r="B431" s="204"/>
      <c r="C431" s="205"/>
    </row>
    <row r="432" ht="17.25" customHeight="1" spans="1:3">
      <c r="A432" s="203" t="s">
        <v>786</v>
      </c>
      <c r="B432" s="204"/>
      <c r="C432" s="205"/>
    </row>
    <row r="433" ht="17.25" customHeight="1" spans="1:3">
      <c r="A433" s="203" t="s">
        <v>787</v>
      </c>
      <c r="B433" s="206">
        <f>SUM(B434:B437)</f>
        <v>0</v>
      </c>
      <c r="C433" s="207"/>
    </row>
    <row r="434" ht="17.25" customHeight="1" spans="1:3">
      <c r="A434" s="203" t="s">
        <v>772</v>
      </c>
      <c r="B434" s="204"/>
      <c r="C434" s="205"/>
    </row>
    <row r="435" ht="17.25" customHeight="1" spans="1:3">
      <c r="A435" s="203" t="s">
        <v>788</v>
      </c>
      <c r="B435" s="204"/>
      <c r="C435" s="205"/>
    </row>
    <row r="436" ht="17.25" customHeight="1" spans="1:3">
      <c r="A436" s="203" t="s">
        <v>789</v>
      </c>
      <c r="B436" s="204"/>
      <c r="C436" s="205"/>
    </row>
    <row r="437" ht="17.25" customHeight="1" spans="1:3">
      <c r="A437" s="203" t="s">
        <v>790</v>
      </c>
      <c r="B437" s="204"/>
      <c r="C437" s="205"/>
    </row>
    <row r="438" ht="17.25" customHeight="1" spans="1:3">
      <c r="A438" s="203" t="s">
        <v>791</v>
      </c>
      <c r="B438" s="206">
        <f>SUM(B439:B442)</f>
        <v>0</v>
      </c>
      <c r="C438" s="207"/>
    </row>
    <row r="439" ht="17.25" customHeight="1" spans="1:3">
      <c r="A439" s="203" t="s">
        <v>792</v>
      </c>
      <c r="B439" s="204"/>
      <c r="C439" s="205"/>
    </row>
    <row r="440" ht="17.25" customHeight="1" spans="1:3">
      <c r="A440" s="203" t="s">
        <v>793</v>
      </c>
      <c r="B440" s="204"/>
      <c r="C440" s="205"/>
    </row>
    <row r="441" ht="17.25" customHeight="1" spans="1:3">
      <c r="A441" s="203" t="s">
        <v>794</v>
      </c>
      <c r="B441" s="204"/>
      <c r="C441" s="205"/>
    </row>
    <row r="442" ht="17.25" customHeight="1" spans="1:3">
      <c r="A442" s="203" t="s">
        <v>795</v>
      </c>
      <c r="B442" s="204"/>
      <c r="C442" s="205"/>
    </row>
    <row r="443" ht="17.25" customHeight="1" spans="1:3">
      <c r="A443" s="203" t="s">
        <v>796</v>
      </c>
      <c r="B443" s="206">
        <f>SUM(B444:B449)</f>
        <v>0</v>
      </c>
      <c r="C443" s="207"/>
    </row>
    <row r="444" ht="17.25" customHeight="1" spans="1:3">
      <c r="A444" s="203" t="s">
        <v>772</v>
      </c>
      <c r="B444" s="204"/>
      <c r="C444" s="205"/>
    </row>
    <row r="445" ht="17.25" customHeight="1" spans="1:3">
      <c r="A445" s="203" t="s">
        <v>797</v>
      </c>
      <c r="B445" s="204"/>
      <c r="C445" s="205"/>
    </row>
    <row r="446" ht="17.25" customHeight="1" spans="1:3">
      <c r="A446" s="203" t="s">
        <v>798</v>
      </c>
      <c r="B446" s="204"/>
      <c r="C446" s="205"/>
    </row>
    <row r="447" ht="17.25" customHeight="1" spans="1:3">
      <c r="A447" s="203" t="s">
        <v>799</v>
      </c>
      <c r="B447" s="204"/>
      <c r="C447" s="205"/>
    </row>
    <row r="448" ht="17.25" customHeight="1" spans="1:3">
      <c r="A448" s="203" t="s">
        <v>800</v>
      </c>
      <c r="B448" s="204"/>
      <c r="C448" s="205"/>
    </row>
    <row r="449" ht="17.25" customHeight="1" spans="1:3">
      <c r="A449" s="203" t="s">
        <v>801</v>
      </c>
      <c r="B449" s="204"/>
      <c r="C449" s="205"/>
    </row>
    <row r="450" ht="17.25" customHeight="1" spans="1:3">
      <c r="A450" s="203" t="s">
        <v>802</v>
      </c>
      <c r="B450" s="206">
        <f>SUM(B451:B453)</f>
        <v>0</v>
      </c>
      <c r="C450" s="207"/>
    </row>
    <row r="451" ht="17.25" customHeight="1" spans="1:3">
      <c r="A451" s="203" t="s">
        <v>803</v>
      </c>
      <c r="B451" s="204"/>
      <c r="C451" s="205"/>
    </row>
    <row r="452" ht="17.25" customHeight="1" spans="1:3">
      <c r="A452" s="203" t="s">
        <v>804</v>
      </c>
      <c r="B452" s="204"/>
      <c r="C452" s="205"/>
    </row>
    <row r="453" ht="17.25" customHeight="1" spans="1:3">
      <c r="A453" s="203" t="s">
        <v>805</v>
      </c>
      <c r="B453" s="204"/>
      <c r="C453" s="205"/>
    </row>
    <row r="454" ht="17.25" customHeight="1" spans="1:3">
      <c r="A454" s="203" t="s">
        <v>806</v>
      </c>
      <c r="B454" s="206">
        <f>SUM(B455:B457)</f>
        <v>0</v>
      </c>
      <c r="C454" s="207"/>
    </row>
    <row r="455" ht="17.25" customHeight="1" spans="1:3">
      <c r="A455" s="203" t="s">
        <v>807</v>
      </c>
      <c r="B455" s="204"/>
      <c r="C455" s="205"/>
    </row>
    <row r="456" ht="17.25" customHeight="1" spans="1:3">
      <c r="A456" s="203" t="s">
        <v>808</v>
      </c>
      <c r="B456" s="204"/>
      <c r="C456" s="205"/>
    </row>
    <row r="457" ht="17.25" customHeight="1" spans="1:3">
      <c r="A457" s="203" t="s">
        <v>809</v>
      </c>
      <c r="B457" s="204"/>
      <c r="C457" s="205"/>
    </row>
    <row r="458" ht="17.25" customHeight="1" spans="1:3">
      <c r="A458" s="203" t="s">
        <v>810</v>
      </c>
      <c r="B458" s="206">
        <f>SUM(B459:B462)</f>
        <v>0</v>
      </c>
      <c r="C458" s="207"/>
    </row>
    <row r="459" ht="17.25" customHeight="1" spans="1:3">
      <c r="A459" s="203" t="s">
        <v>811</v>
      </c>
      <c r="B459" s="204"/>
      <c r="C459" s="205"/>
    </row>
    <row r="460" ht="17.25" customHeight="1" spans="1:3">
      <c r="A460" s="203" t="s">
        <v>812</v>
      </c>
      <c r="B460" s="204"/>
      <c r="C460" s="205"/>
    </row>
    <row r="461" ht="17.25" customHeight="1" spans="1:3">
      <c r="A461" s="203" t="s">
        <v>813</v>
      </c>
      <c r="B461" s="204"/>
      <c r="C461" s="205"/>
    </row>
    <row r="462" ht="17.25" customHeight="1" spans="1:3">
      <c r="A462" s="203" t="s">
        <v>814</v>
      </c>
      <c r="B462" s="204"/>
      <c r="C462" s="205"/>
    </row>
    <row r="463" ht="17.25" customHeight="1" spans="1:3">
      <c r="A463" s="198" t="s">
        <v>43</v>
      </c>
      <c r="B463" s="199">
        <f>B464+B480+B488+B499+B508+B516</f>
        <v>3291</v>
      </c>
      <c r="C463" s="200"/>
    </row>
    <row r="464" ht="17.25" customHeight="1" spans="1:3">
      <c r="A464" s="198" t="s">
        <v>815</v>
      </c>
      <c r="B464" s="199">
        <f>SUM(B465:B479)</f>
        <v>1743</v>
      </c>
      <c r="C464" s="200"/>
    </row>
    <row r="465" ht="17.25" customHeight="1" spans="1:3">
      <c r="A465" s="198" t="s">
        <v>517</v>
      </c>
      <c r="B465" s="201">
        <f>36+599+36</f>
        <v>671</v>
      </c>
      <c r="C465" s="202"/>
    </row>
    <row r="466" ht="17.25" customHeight="1" spans="1:3">
      <c r="A466" s="203" t="s">
        <v>518</v>
      </c>
      <c r="B466" s="204"/>
      <c r="C466" s="205"/>
    </row>
    <row r="467" ht="17.25" customHeight="1" spans="1:3">
      <c r="A467" s="203" t="s">
        <v>519</v>
      </c>
      <c r="B467" s="204"/>
      <c r="C467" s="205"/>
    </row>
    <row r="468" ht="17.25" customHeight="1" spans="1:3">
      <c r="A468" s="198" t="s">
        <v>816</v>
      </c>
      <c r="B468" s="201">
        <f>5+78+5</f>
        <v>88</v>
      </c>
      <c r="C468" s="202"/>
    </row>
    <row r="469" ht="17.25" customHeight="1" spans="1:3">
      <c r="A469" s="203" t="s">
        <v>817</v>
      </c>
      <c r="B469" s="204"/>
      <c r="C469" s="205"/>
    </row>
    <row r="470" ht="17.25" customHeight="1" spans="1:3">
      <c r="A470" s="203" t="s">
        <v>818</v>
      </c>
      <c r="B470" s="204"/>
      <c r="C470" s="205"/>
    </row>
    <row r="471" ht="17.25" customHeight="1" spans="1:3">
      <c r="A471" s="203" t="s">
        <v>819</v>
      </c>
      <c r="B471" s="204"/>
      <c r="C471" s="205"/>
    </row>
    <row r="472" ht="17.25" customHeight="1" spans="1:3">
      <c r="A472" s="203" t="s">
        <v>820</v>
      </c>
      <c r="B472" s="204"/>
      <c r="C472" s="205"/>
    </row>
    <row r="473" ht="17.25" customHeight="1" spans="1:3">
      <c r="A473" s="198" t="s">
        <v>821</v>
      </c>
      <c r="B473" s="201">
        <f>10+364+10</f>
        <v>384</v>
      </c>
      <c r="C473" s="202"/>
    </row>
    <row r="474" ht="17.25" customHeight="1" spans="1:3">
      <c r="A474" s="203" t="s">
        <v>822</v>
      </c>
      <c r="B474" s="204"/>
      <c r="C474" s="205"/>
    </row>
    <row r="475" ht="17.25" customHeight="1" spans="1:3">
      <c r="A475" s="203" t="s">
        <v>823</v>
      </c>
      <c r="B475" s="204"/>
      <c r="C475" s="205"/>
    </row>
    <row r="476" ht="17.25" customHeight="1" spans="1:3">
      <c r="A476" s="203" t="s">
        <v>824</v>
      </c>
      <c r="B476" s="204"/>
      <c r="C476" s="205"/>
    </row>
    <row r="477" ht="17.25" customHeight="1" spans="1:3">
      <c r="A477" s="203" t="s">
        <v>825</v>
      </c>
      <c r="B477" s="204"/>
      <c r="C477" s="205"/>
    </row>
    <row r="478" ht="17.25" customHeight="1" spans="1:3">
      <c r="A478" s="203" t="s">
        <v>826</v>
      </c>
      <c r="B478" s="204"/>
      <c r="C478" s="205"/>
    </row>
    <row r="479" ht="17.25" customHeight="1" spans="1:3">
      <c r="A479" s="198" t="s">
        <v>827</v>
      </c>
      <c r="B479" s="201">
        <v>600</v>
      </c>
      <c r="C479" s="202"/>
    </row>
    <row r="480" ht="17.25" customHeight="1" spans="1:3">
      <c r="A480" s="198" t="s">
        <v>828</v>
      </c>
      <c r="B480" s="199">
        <f>SUM(B481:B487)</f>
        <v>428</v>
      </c>
      <c r="C480" s="200"/>
    </row>
    <row r="481" ht="17.25" customHeight="1" spans="1:3">
      <c r="A481" s="198" t="s">
        <v>517</v>
      </c>
      <c r="B481" s="201">
        <f>5+220+5</f>
        <v>230</v>
      </c>
      <c r="C481" s="202"/>
    </row>
    <row r="482" ht="17.25" customHeight="1" spans="1:3">
      <c r="A482" s="203" t="s">
        <v>518</v>
      </c>
      <c r="B482" s="204"/>
      <c r="C482" s="205"/>
    </row>
    <row r="483" ht="17.25" customHeight="1" spans="1:3">
      <c r="A483" s="203" t="s">
        <v>519</v>
      </c>
      <c r="B483" s="204"/>
      <c r="C483" s="205"/>
    </row>
    <row r="484" ht="17.25" customHeight="1" spans="1:3">
      <c r="A484" s="198" t="s">
        <v>829</v>
      </c>
      <c r="B484" s="201">
        <v>6</v>
      </c>
      <c r="C484" s="202"/>
    </row>
    <row r="485" ht="17.25" customHeight="1" spans="1:3">
      <c r="A485" s="198" t="s">
        <v>830</v>
      </c>
      <c r="B485" s="201">
        <f>11+170+11</f>
        <v>192</v>
      </c>
      <c r="C485" s="202"/>
    </row>
    <row r="486" ht="17.25" customHeight="1" spans="1:3">
      <c r="A486" s="203" t="s">
        <v>831</v>
      </c>
      <c r="B486" s="204"/>
      <c r="C486" s="205"/>
    </row>
    <row r="487" ht="17.25" customHeight="1" spans="1:3">
      <c r="A487" s="203" t="s">
        <v>832</v>
      </c>
      <c r="B487" s="204"/>
      <c r="C487" s="205"/>
    </row>
    <row r="488" ht="17.25" customHeight="1" spans="1:3">
      <c r="A488" s="203" t="s">
        <v>833</v>
      </c>
      <c r="B488" s="206">
        <f>SUM(B489:B498)</f>
        <v>0</v>
      </c>
      <c r="C488" s="207"/>
    </row>
    <row r="489" ht="17.25" customHeight="1" spans="1:3">
      <c r="A489" s="203" t="s">
        <v>517</v>
      </c>
      <c r="B489" s="204"/>
      <c r="C489" s="205"/>
    </row>
    <row r="490" ht="17.25" customHeight="1" spans="1:3">
      <c r="A490" s="203" t="s">
        <v>518</v>
      </c>
      <c r="B490" s="204"/>
      <c r="C490" s="205"/>
    </row>
    <row r="491" ht="17.25" customHeight="1" spans="1:3">
      <c r="A491" s="203" t="s">
        <v>519</v>
      </c>
      <c r="B491" s="204"/>
      <c r="C491" s="205"/>
    </row>
    <row r="492" ht="17.25" customHeight="1" spans="1:3">
      <c r="A492" s="203" t="s">
        <v>834</v>
      </c>
      <c r="B492" s="204"/>
      <c r="C492" s="205"/>
    </row>
    <row r="493" ht="17.25" customHeight="1" spans="1:3">
      <c r="A493" s="203" t="s">
        <v>835</v>
      </c>
      <c r="B493" s="204"/>
      <c r="C493" s="205"/>
    </row>
    <row r="494" ht="17.25" customHeight="1" spans="1:3">
      <c r="A494" s="203" t="s">
        <v>836</v>
      </c>
      <c r="B494" s="204"/>
      <c r="C494" s="205"/>
    </row>
    <row r="495" ht="17.25" customHeight="1" spans="1:3">
      <c r="A495" s="203" t="s">
        <v>837</v>
      </c>
      <c r="B495" s="204"/>
      <c r="C495" s="205"/>
    </row>
    <row r="496" ht="17.25" customHeight="1" spans="1:3">
      <c r="A496" s="203" t="s">
        <v>838</v>
      </c>
      <c r="B496" s="204"/>
      <c r="C496" s="205"/>
    </row>
    <row r="497" ht="17.25" customHeight="1" spans="1:3">
      <c r="A497" s="203" t="s">
        <v>839</v>
      </c>
      <c r="B497" s="204"/>
      <c r="C497" s="205"/>
    </row>
    <row r="498" ht="17.25" customHeight="1" spans="1:3">
      <c r="A498" s="203" t="s">
        <v>840</v>
      </c>
      <c r="B498" s="204"/>
      <c r="C498" s="205"/>
    </row>
    <row r="499" ht="17.25" customHeight="1" spans="1:3">
      <c r="A499" s="203" t="s">
        <v>841</v>
      </c>
      <c r="B499" s="206">
        <f>SUM(B500:B507)</f>
        <v>0</v>
      </c>
      <c r="C499" s="207"/>
    </row>
    <row r="500" ht="17.25" customHeight="1" spans="1:3">
      <c r="A500" s="203" t="s">
        <v>517</v>
      </c>
      <c r="B500" s="204"/>
      <c r="C500" s="205"/>
    </row>
    <row r="501" ht="17.25" customHeight="1" spans="1:3">
      <c r="A501" s="203" t="s">
        <v>842</v>
      </c>
      <c r="B501" s="204"/>
      <c r="C501" s="205"/>
    </row>
    <row r="502" ht="17.25" customHeight="1" spans="1:3">
      <c r="A502" s="203" t="s">
        <v>519</v>
      </c>
      <c r="B502" s="204"/>
      <c r="C502" s="205"/>
    </row>
    <row r="503" ht="17.25" customHeight="1" spans="1:3">
      <c r="A503" s="203" t="s">
        <v>843</v>
      </c>
      <c r="B503" s="204"/>
      <c r="C503" s="205"/>
    </row>
    <row r="504" ht="17.25" customHeight="1" spans="1:3">
      <c r="A504" s="203" t="s">
        <v>844</v>
      </c>
      <c r="B504" s="204"/>
      <c r="C504" s="205"/>
    </row>
    <row r="505" ht="17.25" customHeight="1" spans="1:3">
      <c r="A505" s="203" t="s">
        <v>845</v>
      </c>
      <c r="B505" s="204"/>
      <c r="C505" s="205"/>
    </row>
    <row r="506" ht="17.25" customHeight="1" spans="1:3">
      <c r="A506" s="203" t="s">
        <v>846</v>
      </c>
      <c r="B506" s="204"/>
      <c r="C506" s="205"/>
    </row>
    <row r="507" ht="17.25" customHeight="1" spans="1:3">
      <c r="A507" s="203" t="s">
        <v>847</v>
      </c>
      <c r="B507" s="204"/>
      <c r="C507" s="205"/>
    </row>
    <row r="508" ht="17.25" customHeight="1" spans="1:3">
      <c r="A508" s="198" t="s">
        <v>848</v>
      </c>
      <c r="B508" s="199">
        <f>SUM(B509:B515)</f>
        <v>413</v>
      </c>
      <c r="C508" s="200"/>
    </row>
    <row r="509" ht="17.25" customHeight="1" spans="1:3">
      <c r="A509" s="198" t="s">
        <v>517</v>
      </c>
      <c r="B509" s="201">
        <f>21+16+16</f>
        <v>53</v>
      </c>
      <c r="C509" s="202"/>
    </row>
    <row r="510" ht="17.25" customHeight="1" spans="1:3">
      <c r="A510" s="203" t="s">
        <v>518</v>
      </c>
      <c r="B510" s="204"/>
      <c r="C510" s="205"/>
    </row>
    <row r="511" ht="17.25" customHeight="1" spans="1:3">
      <c r="A511" s="203" t="s">
        <v>519</v>
      </c>
      <c r="B511" s="204"/>
      <c r="C511" s="205"/>
    </row>
    <row r="512" ht="17.25" customHeight="1" spans="1:3">
      <c r="A512" s="198" t="s">
        <v>849</v>
      </c>
      <c r="B512" s="201">
        <v>77</v>
      </c>
      <c r="C512" s="202"/>
    </row>
    <row r="513" ht="17.25" customHeight="1" spans="1:3">
      <c r="A513" s="198" t="s">
        <v>850</v>
      </c>
      <c r="B513" s="201">
        <v>283</v>
      </c>
      <c r="C513" s="202"/>
    </row>
    <row r="514" ht="17.25" customHeight="1" spans="1:3">
      <c r="A514" s="203" t="s">
        <v>851</v>
      </c>
      <c r="B514" s="204"/>
      <c r="C514" s="205"/>
    </row>
    <row r="515" ht="17.25" customHeight="1" spans="1:3">
      <c r="A515" s="203" t="s">
        <v>852</v>
      </c>
      <c r="B515" s="204"/>
      <c r="C515" s="205"/>
    </row>
    <row r="516" ht="17.25" customHeight="1" spans="1:3">
      <c r="A516" s="198" t="s">
        <v>853</v>
      </c>
      <c r="B516" s="199">
        <f>SUM(B517:B519)</f>
        <v>707</v>
      </c>
      <c r="C516" s="200"/>
    </row>
    <row r="517" ht="17.25" customHeight="1" spans="1:3">
      <c r="A517" s="203" t="s">
        <v>854</v>
      </c>
      <c r="B517" s="204"/>
      <c r="C517" s="205"/>
    </row>
    <row r="518" ht="17.25" customHeight="1" spans="1:3">
      <c r="A518" s="203" t="s">
        <v>855</v>
      </c>
      <c r="B518" s="204"/>
      <c r="C518" s="205"/>
    </row>
    <row r="519" ht="17.25" customHeight="1" spans="1:3">
      <c r="A519" s="198" t="s">
        <v>856</v>
      </c>
      <c r="B519" s="201">
        <f>707</f>
        <v>707</v>
      </c>
      <c r="C519" s="202"/>
    </row>
    <row r="520" ht="17.25" customHeight="1" spans="1:3">
      <c r="A520" s="198" t="s">
        <v>44</v>
      </c>
      <c r="B520" s="199">
        <f>B521+B535+B543+B545+B553+B557+B567+B575+B582+B590+B599+B604+B607+B610+B613+B616+B619+B623+B628+B636+B639</f>
        <v>68764</v>
      </c>
      <c r="C520" s="200"/>
    </row>
    <row r="521" ht="17.25" customHeight="1" spans="1:3">
      <c r="A521" s="198" t="s">
        <v>857</v>
      </c>
      <c r="B521" s="199">
        <f>SUM(B522:B534)</f>
        <v>1804</v>
      </c>
      <c r="C521" s="200"/>
    </row>
    <row r="522" ht="17.25" customHeight="1" spans="1:3">
      <c r="A522" s="198" t="s">
        <v>517</v>
      </c>
      <c r="B522" s="201">
        <f>30+492+30</f>
        <v>552</v>
      </c>
      <c r="C522" s="202"/>
    </row>
    <row r="523" ht="17.25" customHeight="1" spans="1:3">
      <c r="A523" s="203" t="s">
        <v>518</v>
      </c>
      <c r="B523" s="204"/>
      <c r="C523" s="205"/>
    </row>
    <row r="524" ht="17.25" customHeight="1" spans="1:3">
      <c r="A524" s="203" t="s">
        <v>519</v>
      </c>
      <c r="B524" s="204"/>
      <c r="C524" s="205"/>
    </row>
    <row r="525" ht="17.25" customHeight="1" spans="1:3">
      <c r="A525" s="203" t="s">
        <v>858</v>
      </c>
      <c r="B525" s="204"/>
      <c r="C525" s="205"/>
    </row>
    <row r="526" ht="17.25" customHeight="1" spans="1:3">
      <c r="A526" s="203" t="s">
        <v>859</v>
      </c>
      <c r="B526" s="204"/>
      <c r="C526" s="205"/>
    </row>
    <row r="527" ht="17.25" customHeight="1" spans="1:3">
      <c r="A527" s="203" t="s">
        <v>860</v>
      </c>
      <c r="B527" s="204"/>
      <c r="C527" s="205"/>
    </row>
    <row r="528" ht="17.25" customHeight="1" spans="1:3">
      <c r="A528" s="198" t="s">
        <v>861</v>
      </c>
      <c r="B528" s="201">
        <f>62+919+62</f>
        <v>1043</v>
      </c>
      <c r="C528" s="202"/>
    </row>
    <row r="529" ht="17.25" customHeight="1" spans="1:3">
      <c r="A529" s="203" t="s">
        <v>559</v>
      </c>
      <c r="B529" s="204"/>
      <c r="C529" s="205"/>
    </row>
    <row r="530" ht="17.25" customHeight="1" spans="1:3">
      <c r="A530" s="203" t="s">
        <v>862</v>
      </c>
      <c r="B530" s="204"/>
      <c r="C530" s="205"/>
    </row>
    <row r="531" ht="17.25" customHeight="1" spans="1:3">
      <c r="A531" s="203" t="s">
        <v>863</v>
      </c>
      <c r="B531" s="204"/>
      <c r="C531" s="205"/>
    </row>
    <row r="532" ht="17.25" customHeight="1" spans="1:3">
      <c r="A532" s="198" t="s">
        <v>864</v>
      </c>
      <c r="B532" s="201">
        <v>209</v>
      </c>
      <c r="C532" s="202"/>
    </row>
    <row r="533" ht="17.25" customHeight="1" spans="1:3">
      <c r="A533" s="203" t="s">
        <v>865</v>
      </c>
      <c r="B533" s="204"/>
      <c r="C533" s="205"/>
    </row>
    <row r="534" ht="17.25" customHeight="1" spans="1:3">
      <c r="A534" s="203" t="s">
        <v>866</v>
      </c>
      <c r="B534" s="204"/>
      <c r="C534" s="205"/>
    </row>
    <row r="535" ht="17.25" customHeight="1" spans="1:3">
      <c r="A535" s="198" t="s">
        <v>867</v>
      </c>
      <c r="B535" s="199">
        <f>SUM(B536:B542)</f>
        <v>290</v>
      </c>
      <c r="C535" s="200"/>
    </row>
    <row r="536" ht="17.25" customHeight="1" spans="1:3">
      <c r="A536" s="198" t="s">
        <v>517</v>
      </c>
      <c r="B536" s="201">
        <f>13+169+13</f>
        <v>195</v>
      </c>
      <c r="C536" s="202"/>
    </row>
    <row r="537" ht="17.25" customHeight="1" spans="1:3">
      <c r="A537" s="203" t="s">
        <v>518</v>
      </c>
      <c r="B537" s="204"/>
      <c r="C537" s="205"/>
    </row>
    <row r="538" ht="17.25" customHeight="1" spans="1:3">
      <c r="A538" s="203" t="s">
        <v>519</v>
      </c>
      <c r="B538" s="204"/>
      <c r="C538" s="205"/>
    </row>
    <row r="539" ht="17.25" customHeight="1" spans="1:3">
      <c r="A539" s="203" t="s">
        <v>868</v>
      </c>
      <c r="B539" s="204"/>
      <c r="C539" s="205"/>
    </row>
    <row r="540" ht="17.25" customHeight="1" spans="1:3">
      <c r="A540" s="198" t="s">
        <v>869</v>
      </c>
      <c r="B540" s="201">
        <f>1+15+1</f>
        <v>17</v>
      </c>
      <c r="C540" s="202"/>
    </row>
    <row r="541" ht="17.25" customHeight="1" spans="1:3">
      <c r="A541" s="203" t="s">
        <v>870</v>
      </c>
      <c r="B541" s="204"/>
      <c r="C541" s="205"/>
    </row>
    <row r="542" ht="17.25" customHeight="1" spans="1:3">
      <c r="A542" s="198" t="s">
        <v>871</v>
      </c>
      <c r="B542" s="201">
        <f>5+68+5</f>
        <v>78</v>
      </c>
      <c r="C542" s="202"/>
    </row>
    <row r="543" ht="17.25" customHeight="1" spans="1:3">
      <c r="A543" s="203" t="s">
        <v>872</v>
      </c>
      <c r="B543" s="206">
        <f>SUM(B544)</f>
        <v>0</v>
      </c>
      <c r="C543" s="207"/>
    </row>
    <row r="544" ht="17.25" customHeight="1" spans="1:3">
      <c r="A544" s="203" t="s">
        <v>873</v>
      </c>
      <c r="B544" s="204"/>
      <c r="C544" s="205"/>
    </row>
    <row r="545" ht="17.25" customHeight="1" spans="1:3">
      <c r="A545" s="198" t="s">
        <v>874</v>
      </c>
      <c r="B545" s="199">
        <f>SUM(B546:B552)</f>
        <v>15765</v>
      </c>
      <c r="C545" s="200"/>
    </row>
    <row r="546" ht="17.25" customHeight="1" spans="1:3">
      <c r="A546" s="198" t="s">
        <v>875</v>
      </c>
      <c r="B546" s="201">
        <v>80</v>
      </c>
      <c r="C546" s="202"/>
    </row>
    <row r="547" ht="17.25" customHeight="1" spans="1:3">
      <c r="A547" s="203" t="s">
        <v>876</v>
      </c>
      <c r="B547" s="204"/>
      <c r="C547" s="205"/>
    </row>
    <row r="548" ht="17.25" customHeight="1" spans="1:3">
      <c r="A548" s="203" t="s">
        <v>877</v>
      </c>
      <c r="B548" s="204"/>
      <c r="C548" s="205"/>
    </row>
    <row r="549" ht="17.25" customHeight="1" spans="1:3">
      <c r="A549" s="198" t="s">
        <v>878</v>
      </c>
      <c r="B549" s="201">
        <v>15685</v>
      </c>
      <c r="C549" s="202"/>
    </row>
    <row r="550" ht="17.25" customHeight="1" spans="1:3">
      <c r="A550" s="203" t="s">
        <v>879</v>
      </c>
      <c r="B550" s="204"/>
      <c r="C550" s="205"/>
    </row>
    <row r="551" ht="17.25" customHeight="1" spans="1:3">
      <c r="A551" s="203" t="s">
        <v>880</v>
      </c>
      <c r="B551" s="204"/>
      <c r="C551" s="205"/>
    </row>
    <row r="552" ht="17.25" customHeight="1" spans="1:3">
      <c r="A552" s="203" t="s">
        <v>881</v>
      </c>
      <c r="B552" s="204"/>
      <c r="C552" s="205"/>
    </row>
    <row r="553" ht="17.25" customHeight="1" spans="1:3">
      <c r="A553" s="203" t="s">
        <v>882</v>
      </c>
      <c r="B553" s="206">
        <f>SUM(B554:B556)</f>
        <v>0</v>
      </c>
      <c r="C553" s="207"/>
    </row>
    <row r="554" ht="17.25" customHeight="1" spans="1:3">
      <c r="A554" s="203" t="s">
        <v>883</v>
      </c>
      <c r="B554" s="204"/>
      <c r="C554" s="205"/>
    </row>
    <row r="555" ht="17.25" customHeight="1" spans="1:3">
      <c r="A555" s="203" t="s">
        <v>884</v>
      </c>
      <c r="B555" s="204"/>
      <c r="C555" s="205"/>
    </row>
    <row r="556" ht="17.25" customHeight="1" spans="1:3">
      <c r="A556" s="203" t="s">
        <v>885</v>
      </c>
      <c r="B556" s="204"/>
      <c r="C556" s="205"/>
    </row>
    <row r="557" ht="17.25" customHeight="1" spans="1:3">
      <c r="A557" s="198" t="s">
        <v>886</v>
      </c>
      <c r="B557" s="199">
        <f>SUM(B558:B566)</f>
        <v>3266</v>
      </c>
      <c r="C557" s="200"/>
    </row>
    <row r="558" ht="17.25" customHeight="1" spans="1:3">
      <c r="A558" s="203" t="s">
        <v>887</v>
      </c>
      <c r="B558" s="204"/>
      <c r="C558" s="205"/>
    </row>
    <row r="559" ht="17.25" customHeight="1" spans="1:3">
      <c r="A559" s="203" t="s">
        <v>888</v>
      </c>
      <c r="B559" s="204"/>
      <c r="C559" s="205"/>
    </row>
    <row r="560" ht="17.25" customHeight="1" spans="1:3">
      <c r="A560" s="203" t="s">
        <v>889</v>
      </c>
      <c r="B560" s="204"/>
      <c r="C560" s="205"/>
    </row>
    <row r="561" ht="17.25" customHeight="1" spans="1:3">
      <c r="A561" s="203" t="s">
        <v>890</v>
      </c>
      <c r="B561" s="204"/>
      <c r="C561" s="205"/>
    </row>
    <row r="562" ht="17.25" customHeight="1" spans="1:3">
      <c r="A562" s="203" t="s">
        <v>891</v>
      </c>
      <c r="B562" s="204"/>
      <c r="C562" s="205"/>
    </row>
    <row r="563" ht="17.25" customHeight="1" spans="1:3">
      <c r="A563" s="203" t="s">
        <v>892</v>
      </c>
      <c r="B563" s="204"/>
      <c r="C563" s="205"/>
    </row>
    <row r="564" ht="17.25" customHeight="1" spans="1:3">
      <c r="A564" s="203" t="s">
        <v>893</v>
      </c>
      <c r="B564" s="204"/>
      <c r="C564" s="205"/>
    </row>
    <row r="565" ht="17.25" customHeight="1" spans="1:3">
      <c r="A565" s="203" t="s">
        <v>894</v>
      </c>
      <c r="B565" s="204"/>
      <c r="C565" s="205"/>
    </row>
    <row r="566" ht="17.25" customHeight="1" spans="1:3">
      <c r="A566" s="198" t="s">
        <v>895</v>
      </c>
      <c r="B566" s="201">
        <v>3266</v>
      </c>
      <c r="C566" s="202"/>
    </row>
    <row r="567" ht="17.25" customHeight="1" spans="1:3">
      <c r="A567" s="198" t="s">
        <v>896</v>
      </c>
      <c r="B567" s="199">
        <f>SUM(B568:B574)</f>
        <v>5645</v>
      </c>
      <c r="C567" s="200"/>
    </row>
    <row r="568" ht="17.25" customHeight="1" spans="1:3">
      <c r="A568" s="203" t="s">
        <v>897</v>
      </c>
      <c r="B568" s="204"/>
      <c r="C568" s="205"/>
    </row>
    <row r="569" ht="17.25" customHeight="1" spans="1:3">
      <c r="A569" s="203" t="s">
        <v>898</v>
      </c>
      <c r="B569" s="204"/>
      <c r="C569" s="205"/>
    </row>
    <row r="570" ht="17.25" customHeight="1" spans="1:3">
      <c r="A570" s="203" t="s">
        <v>899</v>
      </c>
      <c r="B570" s="204"/>
      <c r="C570" s="205"/>
    </row>
    <row r="571" ht="17.25" customHeight="1" spans="1:3">
      <c r="A571" s="198" t="s">
        <v>900</v>
      </c>
      <c r="B571" s="201">
        <v>95</v>
      </c>
      <c r="C571" s="202"/>
    </row>
    <row r="572" ht="17.25" customHeight="1" spans="1:3">
      <c r="A572" s="203" t="s">
        <v>901</v>
      </c>
      <c r="B572" s="204"/>
      <c r="C572" s="205"/>
    </row>
    <row r="573" ht="17.25" customHeight="1" spans="1:3">
      <c r="A573" s="203" t="s">
        <v>902</v>
      </c>
      <c r="B573" s="204"/>
      <c r="C573" s="205"/>
    </row>
    <row r="574" ht="17.25" customHeight="1" spans="1:3">
      <c r="A574" s="198" t="s">
        <v>903</v>
      </c>
      <c r="B574" s="201">
        <f>5109+15+426</f>
        <v>5550</v>
      </c>
      <c r="C574" s="202"/>
    </row>
    <row r="575" ht="17.25" customHeight="1" spans="1:3">
      <c r="A575" s="198" t="s">
        <v>904</v>
      </c>
      <c r="B575" s="199">
        <f>SUM(B576:B581)</f>
        <v>100</v>
      </c>
      <c r="C575" s="200"/>
    </row>
    <row r="576" ht="17.25" customHeight="1" spans="1:3">
      <c r="A576" s="203" t="s">
        <v>905</v>
      </c>
      <c r="B576" s="204"/>
      <c r="C576" s="205"/>
    </row>
    <row r="577" ht="17.25" customHeight="1" spans="1:3">
      <c r="A577" s="203" t="s">
        <v>906</v>
      </c>
      <c r="B577" s="204"/>
      <c r="C577" s="205"/>
    </row>
    <row r="578" ht="17.25" customHeight="1" spans="1:3">
      <c r="A578" s="198" t="s">
        <v>907</v>
      </c>
      <c r="B578" s="201">
        <f>5+64+5</f>
        <v>74</v>
      </c>
      <c r="C578" s="202"/>
    </row>
    <row r="579" ht="17.25" customHeight="1" spans="1:3">
      <c r="A579" s="203" t="s">
        <v>908</v>
      </c>
      <c r="B579" s="204"/>
      <c r="C579" s="205"/>
    </row>
    <row r="580" ht="17.25" customHeight="1" spans="1:3">
      <c r="A580" s="198" t="s">
        <v>909</v>
      </c>
      <c r="B580" s="201">
        <v>26</v>
      </c>
      <c r="C580" s="202"/>
    </row>
    <row r="581" ht="17.25" customHeight="1" spans="1:3">
      <c r="A581" s="203" t="s">
        <v>910</v>
      </c>
      <c r="B581" s="204"/>
      <c r="C581" s="205"/>
    </row>
    <row r="582" ht="17.25" customHeight="1" spans="1:3">
      <c r="A582" s="198" t="s">
        <v>911</v>
      </c>
      <c r="B582" s="199">
        <f>SUM(B583:B589)</f>
        <v>239</v>
      </c>
      <c r="C582" s="200"/>
    </row>
    <row r="583" ht="17.25" customHeight="1" spans="1:3">
      <c r="A583" s="198" t="s">
        <v>912</v>
      </c>
      <c r="B583" s="201">
        <f>4+72+4</f>
        <v>80</v>
      </c>
      <c r="C583" s="202"/>
    </row>
    <row r="584" ht="17.25" customHeight="1" spans="1:3">
      <c r="A584" s="198" t="s">
        <v>913</v>
      </c>
      <c r="B584" s="201">
        <v>25</v>
      </c>
      <c r="C584" s="202"/>
    </row>
    <row r="585" ht="17.25" customHeight="1" spans="1:3">
      <c r="A585" s="203" t="s">
        <v>914</v>
      </c>
      <c r="B585" s="204"/>
      <c r="C585" s="205"/>
    </row>
    <row r="586" ht="17.25" customHeight="1" spans="1:3">
      <c r="A586" s="198" t="s">
        <v>915</v>
      </c>
      <c r="B586" s="201">
        <f>5+70+5</f>
        <v>80</v>
      </c>
      <c r="C586" s="202"/>
    </row>
    <row r="587" ht="17.25" customHeight="1" spans="1:3">
      <c r="A587" s="198" t="s">
        <v>916</v>
      </c>
      <c r="B587" s="201">
        <f>3+44+3</f>
        <v>50</v>
      </c>
      <c r="C587" s="202"/>
    </row>
    <row r="588" ht="17.25" customHeight="1" spans="1:3">
      <c r="A588" s="203" t="s">
        <v>917</v>
      </c>
      <c r="B588" s="204"/>
      <c r="C588" s="205"/>
    </row>
    <row r="589" ht="17.25" customHeight="1" spans="1:3">
      <c r="A589" s="198" t="s">
        <v>918</v>
      </c>
      <c r="B589" s="201">
        <v>4</v>
      </c>
      <c r="C589" s="202"/>
    </row>
    <row r="590" ht="17.25" customHeight="1" spans="1:3">
      <c r="A590" s="198" t="s">
        <v>919</v>
      </c>
      <c r="B590" s="199">
        <f>SUM(B591:B598)</f>
        <v>581</v>
      </c>
      <c r="C590" s="200"/>
    </row>
    <row r="591" ht="17.25" customHeight="1" spans="1:3">
      <c r="A591" s="198" t="s">
        <v>517</v>
      </c>
      <c r="B591" s="201">
        <f>8+104+8</f>
        <v>120</v>
      </c>
      <c r="C591" s="202"/>
    </row>
    <row r="592" ht="17.25" customHeight="1" spans="1:3">
      <c r="A592" s="203" t="s">
        <v>518</v>
      </c>
      <c r="B592" s="204"/>
      <c r="C592" s="205"/>
    </row>
    <row r="593" ht="17.25" customHeight="1" spans="1:3">
      <c r="A593" s="203" t="s">
        <v>519</v>
      </c>
      <c r="B593" s="204"/>
      <c r="C593" s="205"/>
    </row>
    <row r="594" ht="17.25" customHeight="1" spans="1:3">
      <c r="A594" s="203" t="s">
        <v>920</v>
      </c>
      <c r="B594" s="204"/>
      <c r="C594" s="205"/>
    </row>
    <row r="595" ht="17.25" customHeight="1" spans="1:3">
      <c r="A595" s="198" t="s">
        <v>921</v>
      </c>
      <c r="B595" s="201">
        <v>30</v>
      </c>
      <c r="C595" s="202"/>
    </row>
    <row r="596" ht="17.25" customHeight="1" spans="1:3">
      <c r="A596" s="203" t="s">
        <v>922</v>
      </c>
      <c r="B596" s="204"/>
      <c r="C596" s="205"/>
    </row>
    <row r="597" ht="17.25" customHeight="1" spans="1:3">
      <c r="A597" s="198" t="s">
        <v>923</v>
      </c>
      <c r="B597" s="201">
        <v>310</v>
      </c>
      <c r="C597" s="202"/>
    </row>
    <row r="598" ht="17.25" customHeight="1" spans="1:3">
      <c r="A598" s="198" t="s">
        <v>924</v>
      </c>
      <c r="B598" s="201">
        <v>121</v>
      </c>
      <c r="C598" s="202"/>
    </row>
    <row r="599" ht="17.25" customHeight="1" spans="1:3">
      <c r="A599" s="203" t="s">
        <v>925</v>
      </c>
      <c r="B599" s="206">
        <f>SUM(B600:B603)</f>
        <v>0</v>
      </c>
      <c r="C599" s="207"/>
    </row>
    <row r="600" ht="17.25" customHeight="1" spans="1:3">
      <c r="A600" s="203" t="s">
        <v>517</v>
      </c>
      <c r="B600" s="204"/>
      <c r="C600" s="205"/>
    </row>
    <row r="601" ht="17.25" customHeight="1" spans="1:3">
      <c r="A601" s="203" t="s">
        <v>518</v>
      </c>
      <c r="B601" s="204"/>
      <c r="C601" s="205"/>
    </row>
    <row r="602" ht="17.25" customHeight="1" spans="1:3">
      <c r="A602" s="203" t="s">
        <v>519</v>
      </c>
      <c r="B602" s="204"/>
      <c r="C602" s="205"/>
    </row>
    <row r="603" ht="17.25" customHeight="1" spans="1:3">
      <c r="A603" s="203" t="s">
        <v>926</v>
      </c>
      <c r="B603" s="204"/>
      <c r="C603" s="205"/>
    </row>
    <row r="604" ht="17.25" customHeight="1" spans="1:3">
      <c r="A604" s="198" t="s">
        <v>927</v>
      </c>
      <c r="B604" s="199">
        <f>SUM(B605:B606)</f>
        <v>24369</v>
      </c>
      <c r="C604" s="200"/>
    </row>
    <row r="605" ht="17.25" customHeight="1" spans="1:3">
      <c r="A605" s="198" t="s">
        <v>928</v>
      </c>
      <c r="B605" s="201">
        <v>2800</v>
      </c>
      <c r="C605" s="202"/>
    </row>
    <row r="606" ht="17.25" customHeight="1" spans="1:3">
      <c r="A606" s="198" t="s">
        <v>929</v>
      </c>
      <c r="B606" s="201">
        <v>21569</v>
      </c>
      <c r="C606" s="202"/>
    </row>
    <row r="607" ht="17.25" customHeight="1" spans="1:3">
      <c r="A607" s="198" t="s">
        <v>930</v>
      </c>
      <c r="B607" s="199">
        <f>SUM(B608:B609)</f>
        <v>48</v>
      </c>
      <c r="C607" s="200"/>
    </row>
    <row r="608" ht="17.25" customHeight="1" spans="1:3">
      <c r="A608" s="203" t="s">
        <v>931</v>
      </c>
      <c r="B608" s="204"/>
      <c r="C608" s="205"/>
    </row>
    <row r="609" ht="17.25" customHeight="1" spans="1:3">
      <c r="A609" s="198" t="s">
        <v>932</v>
      </c>
      <c r="B609" s="201">
        <f>4+40+4</f>
        <v>48</v>
      </c>
      <c r="C609" s="202"/>
    </row>
    <row r="610" ht="17.25" customHeight="1" spans="1:3">
      <c r="A610" s="203" t="s">
        <v>933</v>
      </c>
      <c r="B610" s="206">
        <f>SUM(B611:B612)</f>
        <v>0</v>
      </c>
      <c r="C610" s="207"/>
    </row>
    <row r="611" ht="17.25" customHeight="1" spans="1:3">
      <c r="A611" s="203" t="s">
        <v>934</v>
      </c>
      <c r="B611" s="204"/>
      <c r="C611" s="205"/>
    </row>
    <row r="612" ht="17.25" customHeight="1" spans="1:3">
      <c r="A612" s="203" t="s">
        <v>935</v>
      </c>
      <c r="B612" s="204"/>
      <c r="C612" s="205"/>
    </row>
    <row r="613" ht="17.25" customHeight="1" spans="1:3">
      <c r="A613" s="203" t="s">
        <v>936</v>
      </c>
      <c r="B613" s="206">
        <f>SUM(B614:B615)</f>
        <v>0</v>
      </c>
      <c r="C613" s="207"/>
    </row>
    <row r="614" ht="17.25" customHeight="1" spans="1:3">
      <c r="A614" s="203" t="s">
        <v>937</v>
      </c>
      <c r="B614" s="204"/>
      <c r="C614" s="205"/>
    </row>
    <row r="615" ht="17.25" customHeight="1" spans="1:3">
      <c r="A615" s="203" t="s">
        <v>938</v>
      </c>
      <c r="B615" s="204"/>
      <c r="C615" s="205"/>
    </row>
    <row r="616" ht="17.25" customHeight="1" spans="1:3">
      <c r="A616" s="203" t="s">
        <v>939</v>
      </c>
      <c r="B616" s="206">
        <f>SUM(B617:B618)</f>
        <v>0</v>
      </c>
      <c r="C616" s="207"/>
    </row>
    <row r="617" ht="17.25" customHeight="1" spans="1:3">
      <c r="A617" s="203" t="s">
        <v>940</v>
      </c>
      <c r="B617" s="204"/>
      <c r="C617" s="205"/>
    </row>
    <row r="618" ht="17.25" customHeight="1" spans="1:3">
      <c r="A618" s="203" t="s">
        <v>941</v>
      </c>
      <c r="B618" s="204"/>
      <c r="C618" s="205"/>
    </row>
    <row r="619" ht="17.25" customHeight="1" spans="1:3">
      <c r="A619" s="198" t="s">
        <v>942</v>
      </c>
      <c r="B619" s="199">
        <f>SUM(B620:B622)</f>
        <v>14012</v>
      </c>
      <c r="C619" s="200"/>
    </row>
    <row r="620" ht="17.25" customHeight="1" spans="1:3">
      <c r="A620" s="203" t="s">
        <v>943</v>
      </c>
      <c r="B620" s="204"/>
      <c r="C620" s="205"/>
    </row>
    <row r="621" ht="17.25" customHeight="1" spans="1:3">
      <c r="A621" s="198" t="s">
        <v>944</v>
      </c>
      <c r="B621" s="201">
        <f>2923+11089</f>
        <v>14012</v>
      </c>
      <c r="C621" s="202"/>
    </row>
    <row r="622" ht="17.25" customHeight="1" spans="1:3">
      <c r="A622" s="203" t="s">
        <v>945</v>
      </c>
      <c r="B622" s="204"/>
      <c r="C622" s="205"/>
    </row>
    <row r="623" ht="17.25" customHeight="1" spans="1:3">
      <c r="A623" s="203" t="s">
        <v>946</v>
      </c>
      <c r="B623" s="206">
        <f>SUM(B624:B627)</f>
        <v>0</v>
      </c>
      <c r="C623" s="207"/>
    </row>
    <row r="624" ht="17.25" customHeight="1" spans="1:3">
      <c r="A624" s="203" t="s">
        <v>947</v>
      </c>
      <c r="B624" s="204"/>
      <c r="C624" s="205"/>
    </row>
    <row r="625" ht="17.25" customHeight="1" spans="1:3">
      <c r="A625" s="203" t="s">
        <v>948</v>
      </c>
      <c r="B625" s="204"/>
      <c r="C625" s="205"/>
    </row>
    <row r="626" ht="17.25" customHeight="1" spans="1:3">
      <c r="A626" s="203" t="s">
        <v>949</v>
      </c>
      <c r="B626" s="204"/>
      <c r="C626" s="205"/>
    </row>
    <row r="627" ht="17.25" customHeight="1" spans="1:3">
      <c r="A627" s="203" t="s">
        <v>950</v>
      </c>
      <c r="B627" s="204"/>
      <c r="C627" s="205"/>
    </row>
    <row r="628" ht="17.25" customHeight="1" spans="1:3">
      <c r="A628" s="198" t="s">
        <v>951</v>
      </c>
      <c r="B628" s="199">
        <f>SUM(B629:B635)</f>
        <v>100</v>
      </c>
      <c r="C628" s="200"/>
    </row>
    <row r="629" ht="17.25" customHeight="1" spans="1:3">
      <c r="A629" s="198" t="s">
        <v>517</v>
      </c>
      <c r="B629" s="201">
        <f>4+69+4</f>
        <v>77</v>
      </c>
      <c r="C629" s="202"/>
    </row>
    <row r="630" ht="17.25" customHeight="1" spans="1:3">
      <c r="A630" s="203" t="s">
        <v>518</v>
      </c>
      <c r="B630" s="204"/>
      <c r="C630" s="205"/>
    </row>
    <row r="631" ht="17.25" customHeight="1" spans="1:3">
      <c r="A631" s="203" t="s">
        <v>519</v>
      </c>
      <c r="B631" s="204"/>
      <c r="C631" s="205"/>
    </row>
    <row r="632" ht="17.25" customHeight="1" spans="1:3">
      <c r="A632" s="203" t="s">
        <v>952</v>
      </c>
      <c r="B632" s="204"/>
      <c r="C632" s="205"/>
    </row>
    <row r="633" ht="17.25" customHeight="1" spans="1:3">
      <c r="A633" s="203" t="s">
        <v>953</v>
      </c>
      <c r="B633" s="204"/>
      <c r="C633" s="205"/>
    </row>
    <row r="634" ht="17.25" customHeight="1" spans="1:3">
      <c r="A634" s="198" t="s">
        <v>526</v>
      </c>
      <c r="B634" s="201">
        <v>23</v>
      </c>
      <c r="C634" s="202"/>
    </row>
    <row r="635" ht="17.25" customHeight="1" spans="1:3">
      <c r="A635" s="203" t="s">
        <v>954</v>
      </c>
      <c r="B635" s="204"/>
      <c r="C635" s="205"/>
    </row>
    <row r="636" ht="17.25" customHeight="1" spans="1:3">
      <c r="A636" s="203" t="s">
        <v>955</v>
      </c>
      <c r="B636" s="206">
        <f>SUM(B637:B638)</f>
        <v>0</v>
      </c>
      <c r="C636" s="207"/>
    </row>
    <row r="637" ht="17.25" customHeight="1" spans="1:3">
      <c r="A637" s="203" t="s">
        <v>956</v>
      </c>
      <c r="B637" s="204"/>
      <c r="C637" s="205"/>
    </row>
    <row r="638" ht="17.25" customHeight="1" spans="1:3">
      <c r="A638" s="203" t="s">
        <v>957</v>
      </c>
      <c r="B638" s="204"/>
      <c r="C638" s="205"/>
    </row>
    <row r="639" ht="17.25" customHeight="1" spans="1:3">
      <c r="A639" s="198" t="s">
        <v>958</v>
      </c>
      <c r="B639" s="201">
        <f>5+2540</f>
        <v>2545</v>
      </c>
      <c r="C639" s="202"/>
    </row>
    <row r="640" ht="17.25" customHeight="1" spans="1:3">
      <c r="A640" s="198" t="s">
        <v>45</v>
      </c>
      <c r="B640" s="199">
        <f>B641+B646+B660+B664+B676+B679+B683+B688+B692+B696+B699+B708+B710</f>
        <v>32920</v>
      </c>
      <c r="C640" s="200"/>
    </row>
    <row r="641" ht="17.25" customHeight="1" spans="1:3">
      <c r="A641" s="198" t="s">
        <v>959</v>
      </c>
      <c r="B641" s="199">
        <f>SUM(B642:B645)</f>
        <v>585</v>
      </c>
      <c r="C641" s="200"/>
    </row>
    <row r="642" ht="17.25" customHeight="1" spans="1:3">
      <c r="A642" s="198" t="s">
        <v>517</v>
      </c>
      <c r="B642" s="201">
        <f>28+529+28</f>
        <v>585</v>
      </c>
      <c r="C642" s="202"/>
    </row>
    <row r="643" ht="17.25" customHeight="1" spans="1:3">
      <c r="A643" s="203" t="s">
        <v>518</v>
      </c>
      <c r="B643" s="204"/>
      <c r="C643" s="205"/>
    </row>
    <row r="644" ht="17.25" customHeight="1" spans="1:3">
      <c r="A644" s="203" t="s">
        <v>519</v>
      </c>
      <c r="B644" s="204"/>
      <c r="C644" s="205"/>
    </row>
    <row r="645" ht="17.25" customHeight="1" spans="1:3">
      <c r="A645" s="203" t="s">
        <v>960</v>
      </c>
      <c r="B645" s="204"/>
      <c r="C645" s="205"/>
    </row>
    <row r="646" ht="17.25" customHeight="1" spans="1:3">
      <c r="A646" s="198" t="s">
        <v>961</v>
      </c>
      <c r="B646" s="199">
        <f>SUM(B647:B659)</f>
        <v>810</v>
      </c>
      <c r="C646" s="200"/>
    </row>
    <row r="647" ht="17.25" customHeight="1" spans="1:3">
      <c r="A647" s="203" t="s">
        <v>962</v>
      </c>
      <c r="B647" s="204"/>
      <c r="C647" s="205"/>
    </row>
    <row r="648" ht="17.25" customHeight="1" spans="1:3">
      <c r="A648" s="203" t="s">
        <v>963</v>
      </c>
      <c r="B648" s="204"/>
      <c r="C648" s="205"/>
    </row>
    <row r="649" ht="17.25" customHeight="1" spans="1:3">
      <c r="A649" s="198" t="s">
        <v>964</v>
      </c>
      <c r="B649" s="201">
        <f>6+95+6</f>
        <v>107</v>
      </c>
      <c r="C649" s="202"/>
    </row>
    <row r="650" ht="17.25" customHeight="1" spans="1:3">
      <c r="A650" s="203" t="s">
        <v>965</v>
      </c>
      <c r="B650" s="204"/>
      <c r="C650" s="205"/>
    </row>
    <row r="651" ht="17.25" customHeight="1" spans="1:3">
      <c r="A651" s="203" t="s">
        <v>966</v>
      </c>
      <c r="B651" s="204"/>
      <c r="C651" s="205"/>
    </row>
    <row r="652" ht="17.25" customHeight="1" spans="1:3">
      <c r="A652" s="198" t="s">
        <v>967</v>
      </c>
      <c r="B652" s="201">
        <v>703</v>
      </c>
      <c r="C652" s="202"/>
    </row>
    <row r="653" ht="17.25" customHeight="1" spans="1:3">
      <c r="A653" s="203" t="s">
        <v>968</v>
      </c>
      <c r="B653" s="204"/>
      <c r="C653" s="205"/>
    </row>
    <row r="654" ht="17.25" customHeight="1" spans="1:3">
      <c r="A654" s="203" t="s">
        <v>969</v>
      </c>
      <c r="B654" s="204"/>
      <c r="C654" s="205"/>
    </row>
    <row r="655" ht="17.25" customHeight="1" spans="1:3">
      <c r="A655" s="203" t="s">
        <v>970</v>
      </c>
      <c r="B655" s="204"/>
      <c r="C655" s="205"/>
    </row>
    <row r="656" ht="17.25" customHeight="1" spans="1:3">
      <c r="A656" s="203" t="s">
        <v>971</v>
      </c>
      <c r="B656" s="204"/>
      <c r="C656" s="205"/>
    </row>
    <row r="657" ht="17.25" customHeight="1" spans="1:3">
      <c r="A657" s="203" t="s">
        <v>972</v>
      </c>
      <c r="B657" s="204"/>
      <c r="C657" s="205"/>
    </row>
    <row r="658" ht="17.25" customHeight="1" spans="1:3">
      <c r="A658" s="203" t="s">
        <v>973</v>
      </c>
      <c r="B658" s="204"/>
      <c r="C658" s="205"/>
    </row>
    <row r="659" ht="17.25" customHeight="1" spans="1:3">
      <c r="A659" s="203" t="s">
        <v>974</v>
      </c>
      <c r="B659" s="204"/>
      <c r="C659" s="205"/>
    </row>
    <row r="660" ht="17.25" customHeight="1" spans="1:3">
      <c r="A660" s="198" t="s">
        <v>975</v>
      </c>
      <c r="B660" s="199">
        <f>SUM(B661:B663)</f>
        <v>5317</v>
      </c>
      <c r="C660" s="200"/>
    </row>
    <row r="661" ht="17.25" customHeight="1" spans="1:3">
      <c r="A661" s="203" t="s">
        <v>976</v>
      </c>
      <c r="B661" s="204"/>
      <c r="C661" s="205"/>
    </row>
    <row r="662" ht="17.25" customHeight="1" spans="1:3">
      <c r="A662" s="198" t="s">
        <v>977</v>
      </c>
      <c r="B662" s="201">
        <f>4000+300</f>
        <v>4300</v>
      </c>
      <c r="C662" s="202"/>
    </row>
    <row r="663" ht="17.25" customHeight="1" spans="1:3">
      <c r="A663" s="198" t="s">
        <v>978</v>
      </c>
      <c r="B663" s="201">
        <v>1017</v>
      </c>
      <c r="C663" s="202"/>
    </row>
    <row r="664" ht="17.25" customHeight="1" spans="1:3">
      <c r="A664" s="198" t="s">
        <v>979</v>
      </c>
      <c r="B664" s="199">
        <f>SUM(B665:B675)</f>
        <v>6775</v>
      </c>
      <c r="C664" s="200"/>
    </row>
    <row r="665" ht="17.25" customHeight="1" spans="1:3">
      <c r="A665" s="198" t="s">
        <v>980</v>
      </c>
      <c r="B665" s="201">
        <v>648</v>
      </c>
      <c r="C665" s="202"/>
    </row>
    <row r="666" ht="17.25" customHeight="1" spans="1:3">
      <c r="A666" s="198" t="s">
        <v>981</v>
      </c>
      <c r="B666" s="201">
        <f>8+125+8</f>
        <v>141</v>
      </c>
      <c r="C666" s="202"/>
    </row>
    <row r="667" ht="17.25" customHeight="1" spans="1:3">
      <c r="A667" s="198" t="s">
        <v>982</v>
      </c>
      <c r="B667" s="201">
        <f>50+1025+50</f>
        <v>1125</v>
      </c>
      <c r="C667" s="202"/>
    </row>
    <row r="668" ht="17.25" customHeight="1" spans="1:3">
      <c r="A668" s="203" t="s">
        <v>983</v>
      </c>
      <c r="B668" s="204"/>
      <c r="C668" s="205"/>
    </row>
    <row r="669" ht="17.25" customHeight="1" spans="1:3">
      <c r="A669" s="203" t="s">
        <v>984</v>
      </c>
      <c r="B669" s="204"/>
      <c r="C669" s="205"/>
    </row>
    <row r="670" ht="17.25" customHeight="1" spans="1:3">
      <c r="A670" s="203" t="s">
        <v>985</v>
      </c>
      <c r="B670" s="204"/>
      <c r="C670" s="205"/>
    </row>
    <row r="671" ht="17.25" customHeight="1" spans="1:3">
      <c r="A671" s="203" t="s">
        <v>986</v>
      </c>
      <c r="B671" s="204"/>
      <c r="C671" s="205"/>
    </row>
    <row r="672" ht="17.25" customHeight="1" spans="1:3">
      <c r="A672" s="198" t="s">
        <v>987</v>
      </c>
      <c r="B672" s="201">
        <f>1000+3654</f>
        <v>4654</v>
      </c>
      <c r="C672" s="202"/>
    </row>
    <row r="673" ht="17.25" customHeight="1" spans="1:3">
      <c r="A673" s="198" t="s">
        <v>988</v>
      </c>
      <c r="B673" s="201">
        <v>207</v>
      </c>
      <c r="C673" s="202"/>
    </row>
    <row r="674" ht="17.25" customHeight="1" spans="1:3">
      <c r="A674" s="203" t="s">
        <v>989</v>
      </c>
      <c r="B674" s="204"/>
      <c r="C674" s="205"/>
    </row>
    <row r="675" ht="17.25" customHeight="1" spans="1:3">
      <c r="A675" s="203" t="s">
        <v>990</v>
      </c>
      <c r="B675" s="204"/>
      <c r="C675" s="205"/>
    </row>
    <row r="676" ht="17.25" customHeight="1" spans="1:3">
      <c r="A676" s="198" t="s">
        <v>991</v>
      </c>
      <c r="B676" s="199">
        <f>SUM(B677:B678)</f>
        <v>200</v>
      </c>
      <c r="C676" s="200"/>
    </row>
    <row r="677" ht="17.25" customHeight="1" spans="1:3">
      <c r="A677" s="198" t="s">
        <v>992</v>
      </c>
      <c r="B677" s="201">
        <v>200</v>
      </c>
      <c r="C677" s="202"/>
    </row>
    <row r="678" ht="17.25" customHeight="1" spans="1:3">
      <c r="A678" s="203" t="s">
        <v>993</v>
      </c>
      <c r="B678" s="204"/>
      <c r="C678" s="205"/>
    </row>
    <row r="679" ht="17.25" customHeight="1" spans="1:3">
      <c r="A679" s="198" t="s">
        <v>994</v>
      </c>
      <c r="B679" s="199">
        <f>SUM(B680:B682)</f>
        <v>1508</v>
      </c>
      <c r="C679" s="200"/>
    </row>
    <row r="680" ht="17.25" customHeight="1" spans="1:3">
      <c r="A680" s="198" t="s">
        <v>995</v>
      </c>
      <c r="B680" s="201">
        <v>144</v>
      </c>
      <c r="C680" s="202"/>
    </row>
    <row r="681" ht="17.25" customHeight="1" spans="1:3">
      <c r="A681" s="198" t="s">
        <v>996</v>
      </c>
      <c r="B681" s="201">
        <f>945+6+500-87</f>
        <v>1364</v>
      </c>
      <c r="C681" s="202"/>
    </row>
    <row r="682" ht="17.25" customHeight="1" spans="1:3">
      <c r="A682" s="203" t="s">
        <v>997</v>
      </c>
      <c r="B682" s="204"/>
      <c r="C682" s="205"/>
    </row>
    <row r="683" ht="17.25" customHeight="1" spans="1:3">
      <c r="A683" s="198" t="s">
        <v>998</v>
      </c>
      <c r="B683" s="199">
        <f>SUM(B684:B687)</f>
        <v>9168</v>
      </c>
      <c r="C683" s="200"/>
    </row>
    <row r="684" ht="17.25" customHeight="1" spans="1:3">
      <c r="A684" s="198" t="s">
        <v>999</v>
      </c>
      <c r="B684" s="201">
        <v>2105</v>
      </c>
      <c r="C684" s="202"/>
    </row>
    <row r="685" ht="17.25" customHeight="1" spans="1:3">
      <c r="A685" s="198" t="s">
        <v>1000</v>
      </c>
      <c r="B685" s="201">
        <v>6638</v>
      </c>
      <c r="C685" s="202"/>
    </row>
    <row r="686" ht="17.25" customHeight="1" spans="1:3">
      <c r="A686" s="198" t="s">
        <v>1001</v>
      </c>
      <c r="B686" s="201">
        <v>425</v>
      </c>
      <c r="C686" s="202"/>
    </row>
    <row r="687" ht="17.25" customHeight="1" spans="1:3">
      <c r="A687" s="203" t="s">
        <v>1002</v>
      </c>
      <c r="B687" s="204"/>
      <c r="C687" s="205"/>
    </row>
    <row r="688" ht="17.25" customHeight="1" spans="1:3">
      <c r="A688" s="198" t="s">
        <v>1003</v>
      </c>
      <c r="B688" s="199">
        <f>SUM(B689:B691)</f>
        <v>2400</v>
      </c>
      <c r="C688" s="200"/>
    </row>
    <row r="689" ht="17.25" customHeight="1" spans="1:3">
      <c r="A689" s="203" t="s">
        <v>1004</v>
      </c>
      <c r="B689" s="204"/>
      <c r="C689" s="205"/>
    </row>
    <row r="690" ht="17.25" customHeight="1" spans="1:3">
      <c r="A690" s="198" t="s">
        <v>1005</v>
      </c>
      <c r="B690" s="201">
        <v>2400</v>
      </c>
      <c r="C690" s="202"/>
    </row>
    <row r="691" ht="17.25" customHeight="1" spans="1:3">
      <c r="A691" s="203" t="s">
        <v>1006</v>
      </c>
      <c r="B691" s="204"/>
      <c r="C691" s="205"/>
    </row>
    <row r="692" ht="17.25" customHeight="1" spans="1:3">
      <c r="A692" s="198" t="s">
        <v>1007</v>
      </c>
      <c r="B692" s="199">
        <f>SUM(B693:B695)</f>
        <v>5017</v>
      </c>
      <c r="C692" s="200"/>
    </row>
    <row r="693" ht="17.25" customHeight="1" spans="1:3">
      <c r="A693" s="198" t="s">
        <v>1008</v>
      </c>
      <c r="B693" s="201">
        <f>893+4124</f>
        <v>5017</v>
      </c>
      <c r="C693" s="202"/>
    </row>
    <row r="694" ht="17.25" customHeight="1" spans="1:3">
      <c r="A694" s="203" t="s">
        <v>1009</v>
      </c>
      <c r="B694" s="204"/>
      <c r="C694" s="205"/>
    </row>
    <row r="695" ht="17.25" customHeight="1" spans="1:3">
      <c r="A695" s="203" t="s">
        <v>1010</v>
      </c>
      <c r="B695" s="204"/>
      <c r="C695" s="205"/>
    </row>
    <row r="696" ht="17.25" customHeight="1" spans="1:3">
      <c r="A696" s="198" t="s">
        <v>1011</v>
      </c>
      <c r="B696" s="199">
        <f>SUM(B697:B698)</f>
        <v>372</v>
      </c>
      <c r="C696" s="200"/>
    </row>
    <row r="697" ht="17.25" customHeight="1" spans="1:3">
      <c r="A697" s="198" t="s">
        <v>1012</v>
      </c>
      <c r="B697" s="201">
        <f>50+322</f>
        <v>372</v>
      </c>
      <c r="C697" s="202"/>
    </row>
    <row r="698" ht="17.25" customHeight="1" spans="1:3">
      <c r="A698" s="203" t="s">
        <v>1013</v>
      </c>
      <c r="B698" s="204"/>
      <c r="C698" s="205"/>
    </row>
    <row r="699" ht="17.25" customHeight="1" spans="1:3">
      <c r="A699" s="198" t="s">
        <v>1014</v>
      </c>
      <c r="B699" s="199">
        <f>SUM(B700:B707)</f>
        <v>366</v>
      </c>
      <c r="C699" s="200"/>
    </row>
    <row r="700" ht="17.25" customHeight="1" spans="1:3">
      <c r="A700" s="198" t="s">
        <v>517</v>
      </c>
      <c r="B700" s="201">
        <v>366</v>
      </c>
      <c r="C700" s="202"/>
    </row>
    <row r="701" ht="17.25" customHeight="1" spans="1:3">
      <c r="A701" s="203" t="s">
        <v>518</v>
      </c>
      <c r="B701" s="204"/>
      <c r="C701" s="205"/>
    </row>
    <row r="702" ht="17.25" customHeight="1" spans="1:3">
      <c r="A702" s="203" t="s">
        <v>519</v>
      </c>
      <c r="B702" s="204"/>
      <c r="C702" s="205"/>
    </row>
    <row r="703" ht="17.25" customHeight="1" spans="1:3">
      <c r="A703" s="203" t="s">
        <v>559</v>
      </c>
      <c r="B703" s="204"/>
      <c r="C703" s="205"/>
    </row>
    <row r="704" ht="17.25" customHeight="1" spans="1:3">
      <c r="A704" s="203" t="s">
        <v>1015</v>
      </c>
      <c r="B704" s="204"/>
      <c r="C704" s="205"/>
    </row>
    <row r="705" ht="17.25" customHeight="1" spans="1:3">
      <c r="A705" s="203" t="s">
        <v>1016</v>
      </c>
      <c r="B705" s="204"/>
      <c r="C705" s="205"/>
    </row>
    <row r="706" ht="17.25" customHeight="1" spans="1:3">
      <c r="A706" s="203" t="s">
        <v>526</v>
      </c>
      <c r="B706" s="204"/>
      <c r="C706" s="205"/>
    </row>
    <row r="707" ht="17.25" customHeight="1" spans="1:3">
      <c r="A707" s="203" t="s">
        <v>1017</v>
      </c>
      <c r="B707" s="204"/>
      <c r="C707" s="205"/>
    </row>
    <row r="708" ht="17.25" customHeight="1" spans="1:3">
      <c r="A708" s="203" t="s">
        <v>1018</v>
      </c>
      <c r="B708" s="206">
        <f>SUM(B709)</f>
        <v>0</v>
      </c>
      <c r="C708" s="207"/>
    </row>
    <row r="709" ht="17.25" customHeight="1" spans="1:3">
      <c r="A709" s="203" t="s">
        <v>1019</v>
      </c>
      <c r="B709" s="204"/>
      <c r="C709" s="205"/>
    </row>
    <row r="710" ht="17.25" customHeight="1" spans="1:3">
      <c r="A710" s="198" t="s">
        <v>1020</v>
      </c>
      <c r="B710" s="199">
        <f>SUM(B711)</f>
        <v>402</v>
      </c>
      <c r="C710" s="200"/>
    </row>
    <row r="711" ht="17.25" customHeight="1" spans="1:3">
      <c r="A711" s="198" t="s">
        <v>1021</v>
      </c>
      <c r="B711" s="201">
        <v>402</v>
      </c>
      <c r="C711" s="202"/>
    </row>
    <row r="712" ht="17.25" customHeight="1" spans="1:3">
      <c r="A712" s="198" t="s">
        <v>46</v>
      </c>
      <c r="B712" s="199">
        <f>B713+B723+B727+B735+B740+B747+B753+B756+B759+B760+B761+B767+B768+B769+B784</f>
        <v>6358</v>
      </c>
      <c r="C712" s="200"/>
    </row>
    <row r="713" ht="17.25" customHeight="1" spans="1:3">
      <c r="A713" s="198" t="s">
        <v>1022</v>
      </c>
      <c r="B713" s="199">
        <f>SUM(B714:B722)</f>
        <v>557</v>
      </c>
      <c r="C713" s="200"/>
    </row>
    <row r="714" ht="17.25" customHeight="1" spans="1:3">
      <c r="A714" s="198" t="s">
        <v>517</v>
      </c>
      <c r="B714" s="201">
        <f>28+501+28</f>
        <v>557</v>
      </c>
      <c r="C714" s="202"/>
    </row>
    <row r="715" ht="17.25" customHeight="1" spans="1:3">
      <c r="A715" s="203" t="s">
        <v>518</v>
      </c>
      <c r="B715" s="204"/>
      <c r="C715" s="205"/>
    </row>
    <row r="716" ht="17.25" customHeight="1" spans="1:3">
      <c r="A716" s="203" t="s">
        <v>519</v>
      </c>
      <c r="B716" s="204"/>
      <c r="C716" s="205"/>
    </row>
    <row r="717" ht="17.25" customHeight="1" spans="1:3">
      <c r="A717" s="203" t="s">
        <v>1023</v>
      </c>
      <c r="B717" s="204"/>
      <c r="C717" s="205"/>
    </row>
    <row r="718" ht="17.25" customHeight="1" spans="1:3">
      <c r="A718" s="203" t="s">
        <v>1024</v>
      </c>
      <c r="B718" s="204"/>
      <c r="C718" s="205"/>
    </row>
    <row r="719" ht="17.25" customHeight="1" spans="1:3">
      <c r="A719" s="203" t="s">
        <v>1025</v>
      </c>
      <c r="B719" s="204"/>
      <c r="C719" s="205"/>
    </row>
    <row r="720" ht="17.25" customHeight="1" spans="1:3">
      <c r="A720" s="203" t="s">
        <v>1026</v>
      </c>
      <c r="B720" s="204"/>
      <c r="C720" s="205"/>
    </row>
    <row r="721" ht="17.25" customHeight="1" spans="1:3">
      <c r="A721" s="203" t="s">
        <v>1027</v>
      </c>
      <c r="B721" s="204"/>
      <c r="C721" s="205"/>
    </row>
    <row r="722" ht="17.25" customHeight="1" spans="1:3">
      <c r="A722" s="203" t="s">
        <v>1028</v>
      </c>
      <c r="B722" s="204"/>
      <c r="C722" s="205"/>
    </row>
    <row r="723" ht="17.25" customHeight="1" spans="1:3">
      <c r="A723" s="203" t="s">
        <v>1029</v>
      </c>
      <c r="B723" s="206">
        <f>SUM(B724:B726)</f>
        <v>0</v>
      </c>
      <c r="C723" s="207"/>
    </row>
    <row r="724" ht="17.25" customHeight="1" spans="1:3">
      <c r="A724" s="203" t="s">
        <v>1030</v>
      </c>
      <c r="B724" s="204"/>
      <c r="C724" s="205"/>
    </row>
    <row r="725" ht="17.25" customHeight="1" spans="1:3">
      <c r="A725" s="203" t="s">
        <v>1031</v>
      </c>
      <c r="B725" s="204"/>
      <c r="C725" s="205"/>
    </row>
    <row r="726" ht="17.25" customHeight="1" spans="1:3">
      <c r="A726" s="203" t="s">
        <v>1032</v>
      </c>
      <c r="B726" s="204"/>
      <c r="C726" s="205"/>
    </row>
    <row r="727" ht="17.25" customHeight="1" spans="1:3">
      <c r="A727" s="198" t="s">
        <v>1033</v>
      </c>
      <c r="B727" s="199">
        <f>SUM(B728:B734)</f>
        <v>2100</v>
      </c>
      <c r="C727" s="200"/>
    </row>
    <row r="728" ht="17.25" customHeight="1" spans="1:3">
      <c r="A728" s="203" t="s">
        <v>1034</v>
      </c>
      <c r="B728" s="204"/>
      <c r="C728" s="205"/>
    </row>
    <row r="729" ht="17.25" customHeight="1" spans="1:3">
      <c r="A729" s="198" t="s">
        <v>1035</v>
      </c>
      <c r="B729" s="201">
        <v>2100</v>
      </c>
      <c r="C729" s="202"/>
    </row>
    <row r="730" ht="17.25" customHeight="1" spans="1:3">
      <c r="A730" s="203" t="s">
        <v>1036</v>
      </c>
      <c r="B730" s="204"/>
      <c r="C730" s="205"/>
    </row>
    <row r="731" ht="17.25" customHeight="1" spans="1:3">
      <c r="A731" s="203" t="s">
        <v>1037</v>
      </c>
      <c r="B731" s="204"/>
      <c r="C731" s="205"/>
    </row>
    <row r="732" ht="17.25" customHeight="1" spans="1:3">
      <c r="A732" s="203" t="s">
        <v>1038</v>
      </c>
      <c r="B732" s="204"/>
      <c r="C732" s="205"/>
    </row>
    <row r="733" ht="17.25" customHeight="1" spans="1:3">
      <c r="A733" s="203" t="s">
        <v>1039</v>
      </c>
      <c r="B733" s="204"/>
      <c r="C733" s="205"/>
    </row>
    <row r="734" ht="17.25" customHeight="1" spans="1:3">
      <c r="A734" s="203" t="s">
        <v>1040</v>
      </c>
      <c r="B734" s="204"/>
      <c r="C734" s="205"/>
    </row>
    <row r="735" ht="17.25" customHeight="1" spans="1:3">
      <c r="A735" s="198" t="s">
        <v>1041</v>
      </c>
      <c r="B735" s="199">
        <f>SUM(B736:B739)</f>
        <v>1082</v>
      </c>
      <c r="C735" s="200"/>
    </row>
    <row r="736" ht="17.25" customHeight="1" spans="1:3">
      <c r="A736" s="198" t="s">
        <v>1042</v>
      </c>
      <c r="B736" s="201">
        <v>495</v>
      </c>
      <c r="C736" s="202"/>
    </row>
    <row r="737" ht="17.25" customHeight="1" spans="1:3">
      <c r="A737" s="198" t="s">
        <v>1043</v>
      </c>
      <c r="B737" s="201">
        <v>587</v>
      </c>
      <c r="C737" s="202"/>
    </row>
    <row r="738" ht="17.25" customHeight="1" spans="1:3">
      <c r="A738" s="203" t="s">
        <v>1044</v>
      </c>
      <c r="B738" s="204"/>
      <c r="C738" s="205"/>
    </row>
    <row r="739" ht="17.25" customHeight="1" spans="1:3">
      <c r="A739" s="203" t="s">
        <v>1045</v>
      </c>
      <c r="B739" s="204"/>
      <c r="C739" s="205"/>
    </row>
    <row r="740" ht="17.25" customHeight="1" spans="1:3">
      <c r="A740" s="203" t="s">
        <v>1046</v>
      </c>
      <c r="B740" s="206">
        <f>SUM(B741:B746)</f>
        <v>0</v>
      </c>
      <c r="C740" s="207"/>
    </row>
    <row r="741" ht="17.25" customHeight="1" spans="1:3">
      <c r="A741" s="203" t="s">
        <v>1047</v>
      </c>
      <c r="B741" s="204"/>
      <c r="C741" s="205"/>
    </row>
    <row r="742" ht="17.25" customHeight="1" spans="1:3">
      <c r="A742" s="203" t="s">
        <v>1048</v>
      </c>
      <c r="B742" s="204"/>
      <c r="C742" s="205"/>
    </row>
    <row r="743" ht="17.25" customHeight="1" spans="1:3">
      <c r="A743" s="203" t="s">
        <v>1049</v>
      </c>
      <c r="B743" s="204"/>
      <c r="C743" s="205"/>
    </row>
    <row r="744" ht="17.25" customHeight="1" spans="1:3">
      <c r="A744" s="203" t="s">
        <v>1050</v>
      </c>
      <c r="B744" s="204"/>
      <c r="C744" s="205"/>
    </row>
    <row r="745" ht="17.25" customHeight="1" spans="1:3">
      <c r="A745" s="203" t="s">
        <v>1051</v>
      </c>
      <c r="B745" s="204"/>
      <c r="C745" s="205"/>
    </row>
    <row r="746" ht="17.25" customHeight="1" spans="1:3">
      <c r="A746" s="203" t="s">
        <v>1052</v>
      </c>
      <c r="B746" s="204"/>
      <c r="C746" s="205"/>
    </row>
    <row r="747" ht="17.25" customHeight="1" spans="1:3">
      <c r="A747" s="198" t="s">
        <v>1053</v>
      </c>
      <c r="B747" s="199">
        <f>SUM(B748:B752)</f>
        <v>2619</v>
      </c>
      <c r="C747" s="200"/>
    </row>
    <row r="748" ht="17.25" customHeight="1" spans="1:3">
      <c r="A748" s="198" t="s">
        <v>1054</v>
      </c>
      <c r="B748" s="201">
        <v>2619</v>
      </c>
      <c r="C748" s="202"/>
    </row>
    <row r="749" ht="17.25" customHeight="1" spans="1:3">
      <c r="A749" s="203" t="s">
        <v>1055</v>
      </c>
      <c r="B749" s="204"/>
      <c r="C749" s="205"/>
    </row>
    <row r="750" ht="17.25" customHeight="1" spans="1:3">
      <c r="A750" s="203" t="s">
        <v>1056</v>
      </c>
      <c r="B750" s="204"/>
      <c r="C750" s="205"/>
    </row>
    <row r="751" ht="17.25" customHeight="1" spans="1:3">
      <c r="A751" s="203" t="s">
        <v>1057</v>
      </c>
      <c r="B751" s="204"/>
      <c r="C751" s="205"/>
    </row>
    <row r="752" ht="17.25" customHeight="1" spans="1:3">
      <c r="A752" s="203" t="s">
        <v>1058</v>
      </c>
      <c r="B752" s="204"/>
      <c r="C752" s="205"/>
    </row>
    <row r="753" ht="17.25" customHeight="1" spans="1:3">
      <c r="A753" s="203" t="s">
        <v>1059</v>
      </c>
      <c r="B753" s="206">
        <f>SUM(B754:B755)</f>
        <v>0</v>
      </c>
      <c r="C753" s="207"/>
    </row>
    <row r="754" ht="17.25" customHeight="1" spans="1:3">
      <c r="A754" s="203" t="s">
        <v>1060</v>
      </c>
      <c r="B754" s="204"/>
      <c r="C754" s="205"/>
    </row>
    <row r="755" ht="17.25" customHeight="1" spans="1:3">
      <c r="A755" s="203" t="s">
        <v>1061</v>
      </c>
      <c r="B755" s="204"/>
      <c r="C755" s="205"/>
    </row>
    <row r="756" ht="17.25" customHeight="1" spans="1:3">
      <c r="A756" s="203" t="s">
        <v>1062</v>
      </c>
      <c r="B756" s="206">
        <f>SUM(B757:B758)</f>
        <v>0</v>
      </c>
      <c r="C756" s="207"/>
    </row>
    <row r="757" ht="17.25" customHeight="1" spans="1:3">
      <c r="A757" s="203" t="s">
        <v>1063</v>
      </c>
      <c r="B757" s="204"/>
      <c r="C757" s="205"/>
    </row>
    <row r="758" ht="17.25" customHeight="1" spans="1:3">
      <c r="A758" s="203" t="s">
        <v>1064</v>
      </c>
      <c r="B758" s="204"/>
      <c r="C758" s="205"/>
    </row>
    <row r="759" ht="17.25" customHeight="1" spans="1:3">
      <c r="A759" s="203" t="s">
        <v>1065</v>
      </c>
      <c r="B759" s="204"/>
      <c r="C759" s="205"/>
    </row>
    <row r="760" ht="17.25" customHeight="1" spans="1:3">
      <c r="A760" s="203" t="s">
        <v>1066</v>
      </c>
      <c r="B760" s="204"/>
      <c r="C760" s="205"/>
    </row>
    <row r="761" ht="17.25" customHeight="1" spans="1:3">
      <c r="A761" s="203" t="s">
        <v>1067</v>
      </c>
      <c r="B761" s="206">
        <f>SUM(B762:B766)</f>
        <v>0</v>
      </c>
      <c r="C761" s="207"/>
    </row>
    <row r="762" ht="17.25" customHeight="1" spans="1:3">
      <c r="A762" s="203" t="s">
        <v>1068</v>
      </c>
      <c r="B762" s="204"/>
      <c r="C762" s="205"/>
    </row>
    <row r="763" ht="17.25" customHeight="1" spans="1:3">
      <c r="A763" s="203" t="s">
        <v>1069</v>
      </c>
      <c r="B763" s="204"/>
      <c r="C763" s="205"/>
    </row>
    <row r="764" ht="17.25" customHeight="1" spans="1:3">
      <c r="A764" s="203" t="s">
        <v>1070</v>
      </c>
      <c r="B764" s="204"/>
      <c r="C764" s="205"/>
    </row>
    <row r="765" ht="17.25" customHeight="1" spans="1:3">
      <c r="A765" s="203" t="s">
        <v>1071</v>
      </c>
      <c r="B765" s="204"/>
      <c r="C765" s="205"/>
    </row>
    <row r="766" ht="17.25" customHeight="1" spans="1:3">
      <c r="A766" s="203" t="s">
        <v>1072</v>
      </c>
      <c r="B766" s="204"/>
      <c r="C766" s="205"/>
    </row>
    <row r="767" ht="17.25" customHeight="1" spans="1:3">
      <c r="A767" s="203" t="s">
        <v>1073</v>
      </c>
      <c r="B767" s="204"/>
      <c r="C767" s="205"/>
    </row>
    <row r="768" ht="17.25" customHeight="1" spans="1:3">
      <c r="A768" s="203" t="s">
        <v>1074</v>
      </c>
      <c r="B768" s="204"/>
      <c r="C768" s="205"/>
    </row>
    <row r="769" ht="17.25" customHeight="1" spans="1:3">
      <c r="A769" s="203" t="s">
        <v>1075</v>
      </c>
      <c r="B769" s="206">
        <f>SUM(B770:B783)</f>
        <v>0</v>
      </c>
      <c r="C769" s="207"/>
    </row>
    <row r="770" ht="17.25" customHeight="1" spans="1:3">
      <c r="A770" s="203" t="s">
        <v>517</v>
      </c>
      <c r="B770" s="204"/>
      <c r="C770" s="205"/>
    </row>
    <row r="771" ht="17.25" customHeight="1" spans="1:3">
      <c r="A771" s="203" t="s">
        <v>518</v>
      </c>
      <c r="B771" s="204"/>
      <c r="C771" s="205"/>
    </row>
    <row r="772" ht="17.25" customHeight="1" spans="1:3">
      <c r="A772" s="203" t="s">
        <v>519</v>
      </c>
      <c r="B772" s="204"/>
      <c r="C772" s="205"/>
    </row>
    <row r="773" ht="17.25" customHeight="1" spans="1:3">
      <c r="A773" s="203" t="s">
        <v>1076</v>
      </c>
      <c r="B773" s="204"/>
      <c r="C773" s="205"/>
    </row>
    <row r="774" ht="17.25" customHeight="1" spans="1:3">
      <c r="A774" s="203" t="s">
        <v>1077</v>
      </c>
      <c r="B774" s="204"/>
      <c r="C774" s="205"/>
    </row>
    <row r="775" ht="17.25" customHeight="1" spans="1:3">
      <c r="A775" s="203" t="s">
        <v>1078</v>
      </c>
      <c r="B775" s="204"/>
      <c r="C775" s="205"/>
    </row>
    <row r="776" ht="17.25" customHeight="1" spans="1:3">
      <c r="A776" s="203" t="s">
        <v>1079</v>
      </c>
      <c r="B776" s="204"/>
      <c r="C776" s="205"/>
    </row>
    <row r="777" ht="17.25" customHeight="1" spans="1:3">
      <c r="A777" s="203" t="s">
        <v>1080</v>
      </c>
      <c r="B777" s="204"/>
      <c r="C777" s="205"/>
    </row>
    <row r="778" ht="17.25" customHeight="1" spans="1:3">
      <c r="A778" s="203" t="s">
        <v>1081</v>
      </c>
      <c r="B778" s="204"/>
      <c r="C778" s="205"/>
    </row>
    <row r="779" ht="17.25" customHeight="1" spans="1:3">
      <c r="A779" s="203" t="s">
        <v>1082</v>
      </c>
      <c r="B779" s="204"/>
      <c r="C779" s="205"/>
    </row>
    <row r="780" ht="17.25" customHeight="1" spans="1:3">
      <c r="A780" s="203" t="s">
        <v>559</v>
      </c>
      <c r="B780" s="204"/>
      <c r="C780" s="205"/>
    </row>
    <row r="781" ht="17.25" customHeight="1" spans="1:3">
      <c r="A781" s="203" t="s">
        <v>1083</v>
      </c>
      <c r="B781" s="204"/>
      <c r="C781" s="205"/>
    </row>
    <row r="782" ht="17.25" customHeight="1" spans="1:3">
      <c r="A782" s="203" t="s">
        <v>526</v>
      </c>
      <c r="B782" s="204"/>
      <c r="C782" s="205"/>
    </row>
    <row r="783" ht="17.25" customHeight="1" spans="1:3">
      <c r="A783" s="203" t="s">
        <v>1084</v>
      </c>
      <c r="B783" s="204"/>
      <c r="C783" s="205"/>
    </row>
    <row r="784" ht="17.25" customHeight="1" spans="1:3">
      <c r="A784" s="203" t="s">
        <v>1085</v>
      </c>
      <c r="B784" s="204"/>
      <c r="C784" s="205"/>
    </row>
    <row r="785" ht="17.25" customHeight="1" spans="1:3">
      <c r="A785" s="198" t="s">
        <v>47</v>
      </c>
      <c r="B785" s="199">
        <f>B786+B797+B798+B801+B802+B803</f>
        <v>2488</v>
      </c>
      <c r="C785" s="200"/>
    </row>
    <row r="786" ht="17.25" customHeight="1" spans="1:3">
      <c r="A786" s="198" t="s">
        <v>1086</v>
      </c>
      <c r="B786" s="199">
        <f>SUM(B787:B796)</f>
        <v>1661</v>
      </c>
      <c r="C786" s="200"/>
    </row>
    <row r="787" ht="17.25" customHeight="1" spans="1:3">
      <c r="A787" s="198" t="s">
        <v>517</v>
      </c>
      <c r="B787" s="201">
        <f>27+606+27</f>
        <v>660</v>
      </c>
      <c r="C787" s="202"/>
    </row>
    <row r="788" ht="17.25" customHeight="1" spans="1:3">
      <c r="A788" s="203" t="s">
        <v>518</v>
      </c>
      <c r="B788" s="204"/>
      <c r="C788" s="205"/>
    </row>
    <row r="789" ht="17.25" customHeight="1" spans="1:3">
      <c r="A789" s="203" t="s">
        <v>519</v>
      </c>
      <c r="B789" s="204"/>
      <c r="C789" s="205"/>
    </row>
    <row r="790" ht="17.25" customHeight="1" spans="1:3">
      <c r="A790" s="198" t="s">
        <v>1087</v>
      </c>
      <c r="B790" s="201">
        <f>40+714+40</f>
        <v>794</v>
      </c>
      <c r="C790" s="202"/>
    </row>
    <row r="791" ht="17.25" customHeight="1" spans="1:3">
      <c r="A791" s="203" t="s">
        <v>1088</v>
      </c>
      <c r="B791" s="204"/>
      <c r="C791" s="205"/>
    </row>
    <row r="792" ht="17.25" customHeight="1" spans="1:3">
      <c r="A792" s="203" t="s">
        <v>1089</v>
      </c>
      <c r="B792" s="204"/>
      <c r="C792" s="205"/>
    </row>
    <row r="793" ht="17.25" customHeight="1" spans="1:3">
      <c r="A793" s="203" t="s">
        <v>1090</v>
      </c>
      <c r="B793" s="204"/>
      <c r="C793" s="205"/>
    </row>
    <row r="794" ht="17.25" customHeight="1" spans="1:3">
      <c r="A794" s="198" t="s">
        <v>1091</v>
      </c>
      <c r="B794" s="201">
        <f>11+178+11</f>
        <v>200</v>
      </c>
      <c r="C794" s="202"/>
    </row>
    <row r="795" ht="17.25" customHeight="1" spans="1:3">
      <c r="A795" s="203" t="s">
        <v>1092</v>
      </c>
      <c r="B795" s="204"/>
      <c r="C795" s="205"/>
    </row>
    <row r="796" ht="17.25" customHeight="1" spans="1:3">
      <c r="A796" s="198" t="s">
        <v>1093</v>
      </c>
      <c r="B796" s="201">
        <v>7</v>
      </c>
      <c r="C796" s="202"/>
    </row>
    <row r="797" ht="17.25" customHeight="1" spans="1:3">
      <c r="A797" s="198" t="s">
        <v>1094</v>
      </c>
      <c r="B797" s="201">
        <v>41</v>
      </c>
      <c r="C797" s="202"/>
    </row>
    <row r="798" ht="17.25" customHeight="1" spans="1:3">
      <c r="A798" s="203" t="s">
        <v>1095</v>
      </c>
      <c r="B798" s="206">
        <f>SUM(B799:B800)</f>
        <v>0</v>
      </c>
      <c r="C798" s="207"/>
    </row>
    <row r="799" ht="17.25" customHeight="1" spans="1:3">
      <c r="A799" s="203" t="s">
        <v>1096</v>
      </c>
      <c r="B799" s="204"/>
      <c r="C799" s="205"/>
    </row>
    <row r="800" ht="17.25" customHeight="1" spans="1:3">
      <c r="A800" s="203" t="s">
        <v>1097</v>
      </c>
      <c r="B800" s="204"/>
      <c r="C800" s="205"/>
    </row>
    <row r="801" ht="17.25" customHeight="1" spans="1:3">
      <c r="A801" s="198" t="s">
        <v>1098</v>
      </c>
      <c r="B801" s="201">
        <f>28+418+28</f>
        <v>474</v>
      </c>
      <c r="C801" s="202"/>
    </row>
    <row r="802" ht="17.25" customHeight="1" spans="1:3">
      <c r="A802" s="198" t="s">
        <v>1099</v>
      </c>
      <c r="B802" s="201">
        <f>17+278+17</f>
        <v>312</v>
      </c>
      <c r="C802" s="202"/>
    </row>
    <row r="803" ht="17.25" customHeight="1" spans="1:3">
      <c r="A803" s="203" t="s">
        <v>1100</v>
      </c>
      <c r="B803" s="204"/>
      <c r="C803" s="205"/>
    </row>
    <row r="804" ht="17.25" customHeight="1" spans="1:3">
      <c r="A804" s="198" t="s">
        <v>48</v>
      </c>
      <c r="B804" s="199">
        <f>B805+B831+B856+B884+B895+B902+B909+B912</f>
        <v>82506</v>
      </c>
      <c r="C804" s="200"/>
    </row>
    <row r="805" ht="17.25" customHeight="1" spans="1:3">
      <c r="A805" s="198" t="s">
        <v>1101</v>
      </c>
      <c r="B805" s="199">
        <f>SUM(B806:B830)</f>
        <v>21428</v>
      </c>
      <c r="C805" s="200"/>
    </row>
    <row r="806" ht="17.25" customHeight="1" spans="1:3">
      <c r="A806" s="198" t="s">
        <v>517</v>
      </c>
      <c r="B806" s="201">
        <f>56+1067+56</f>
        <v>1179</v>
      </c>
      <c r="C806" s="202"/>
    </row>
    <row r="807" ht="17.25" customHeight="1" spans="1:3">
      <c r="A807" s="203" t="s">
        <v>518</v>
      </c>
      <c r="B807" s="204"/>
      <c r="C807" s="205"/>
    </row>
    <row r="808" ht="17.25" customHeight="1" spans="1:3">
      <c r="A808" s="198" t="s">
        <v>519</v>
      </c>
      <c r="B808" s="201">
        <v>61</v>
      </c>
      <c r="C808" s="202"/>
    </row>
    <row r="809" ht="17.25" customHeight="1" spans="1:3">
      <c r="A809" s="198" t="s">
        <v>526</v>
      </c>
      <c r="B809" s="201">
        <f>140+6648+140</f>
        <v>6928</v>
      </c>
      <c r="C809" s="202"/>
    </row>
    <row r="810" ht="17.25" customHeight="1" spans="1:3">
      <c r="A810" s="203" t="s">
        <v>1102</v>
      </c>
      <c r="B810" s="204"/>
      <c r="C810" s="205"/>
    </row>
    <row r="811" ht="17.25" customHeight="1" spans="1:3">
      <c r="A811" s="203" t="s">
        <v>1103</v>
      </c>
      <c r="B811" s="204"/>
      <c r="C811" s="205"/>
    </row>
    <row r="812" ht="17.25" customHeight="1" spans="1:3">
      <c r="A812" s="203" t="s">
        <v>1104</v>
      </c>
      <c r="B812" s="204"/>
      <c r="C812" s="205"/>
    </row>
    <row r="813" ht="17.25" customHeight="1" spans="1:3">
      <c r="A813" s="198" t="s">
        <v>1105</v>
      </c>
      <c r="B813" s="201">
        <f>6+71+6</f>
        <v>83</v>
      </c>
      <c r="C813" s="202"/>
    </row>
    <row r="814" ht="17.25" customHeight="1" spans="1:3">
      <c r="A814" s="198" t="s">
        <v>1106</v>
      </c>
      <c r="B814" s="201">
        <f>17+270+17</f>
        <v>304</v>
      </c>
      <c r="C814" s="202"/>
    </row>
    <row r="815" ht="17.25" customHeight="1" spans="1:3">
      <c r="A815" s="203" t="s">
        <v>1107</v>
      </c>
      <c r="B815" s="204"/>
      <c r="C815" s="205"/>
    </row>
    <row r="816" ht="17.25" customHeight="1" spans="1:3">
      <c r="A816" s="203" t="s">
        <v>1108</v>
      </c>
      <c r="B816" s="204"/>
      <c r="C816" s="205"/>
    </row>
    <row r="817" ht="17.25" customHeight="1" spans="1:3">
      <c r="A817" s="203" t="s">
        <v>1109</v>
      </c>
      <c r="B817" s="204"/>
      <c r="C817" s="205"/>
    </row>
    <row r="818" ht="17.25" customHeight="1" spans="1:3">
      <c r="A818" s="203" t="s">
        <v>1110</v>
      </c>
      <c r="B818" s="204"/>
      <c r="C818" s="205"/>
    </row>
    <row r="819" ht="17.25" customHeight="1" spans="1:3">
      <c r="A819" s="203" t="s">
        <v>1111</v>
      </c>
      <c r="B819" s="204"/>
      <c r="C819" s="205"/>
    </row>
    <row r="820" ht="17.25" customHeight="1" spans="1:3">
      <c r="A820" s="203" t="s">
        <v>1112</v>
      </c>
      <c r="B820" s="204"/>
      <c r="C820" s="205"/>
    </row>
    <row r="821" ht="17.25" customHeight="1" spans="1:3">
      <c r="A821" s="198" t="s">
        <v>1113</v>
      </c>
      <c r="B821" s="201">
        <v>8166</v>
      </c>
      <c r="C821" s="202"/>
    </row>
    <row r="822" ht="17.25" customHeight="1" spans="1:3">
      <c r="A822" s="203" t="s">
        <v>1114</v>
      </c>
      <c r="B822" s="204"/>
      <c r="C822" s="205"/>
    </row>
    <row r="823" ht="17.25" customHeight="1" spans="1:3">
      <c r="A823" s="203" t="s">
        <v>1115</v>
      </c>
      <c r="B823" s="204"/>
      <c r="C823" s="205"/>
    </row>
    <row r="824" ht="17.25" customHeight="1" spans="1:3">
      <c r="A824" s="203" t="s">
        <v>1116</v>
      </c>
      <c r="B824" s="204"/>
      <c r="C824" s="205"/>
    </row>
    <row r="825" ht="17.25" customHeight="1" spans="1:3">
      <c r="A825" s="203" t="s">
        <v>1117</v>
      </c>
      <c r="B825" s="204"/>
      <c r="C825" s="205"/>
    </row>
    <row r="826" ht="17.25" customHeight="1" spans="1:3">
      <c r="A826" s="203" t="s">
        <v>1118</v>
      </c>
      <c r="B826" s="204"/>
      <c r="C826" s="205"/>
    </row>
    <row r="827" ht="17.25" customHeight="1" spans="1:3">
      <c r="A827" s="203" t="s">
        <v>1119</v>
      </c>
      <c r="B827" s="204"/>
      <c r="C827" s="205"/>
    </row>
    <row r="828" ht="17.25" customHeight="1" spans="1:3">
      <c r="A828" s="198" t="s">
        <v>1120</v>
      </c>
      <c r="B828" s="201">
        <v>18</v>
      </c>
      <c r="C828" s="202"/>
    </row>
    <row r="829" ht="17.25" customHeight="1" spans="1:3">
      <c r="A829" s="203" t="s">
        <v>1121</v>
      </c>
      <c r="B829" s="204"/>
      <c r="C829" s="205"/>
    </row>
    <row r="830" ht="17.25" customHeight="1" spans="1:3">
      <c r="A830" s="198" t="s">
        <v>1122</v>
      </c>
      <c r="B830" s="201">
        <f>1001+11243-8166+611</f>
        <v>4689</v>
      </c>
      <c r="C830" s="202"/>
    </row>
    <row r="831" ht="17.25" customHeight="1" spans="1:3">
      <c r="A831" s="198" t="s">
        <v>1123</v>
      </c>
      <c r="B831" s="199">
        <f>SUM(B832:B855)</f>
        <v>7744</v>
      </c>
      <c r="C831" s="200"/>
    </row>
    <row r="832" ht="17.25" customHeight="1" spans="1:3">
      <c r="A832" s="198" t="s">
        <v>517</v>
      </c>
      <c r="B832" s="201">
        <f>14+283+14</f>
        <v>311</v>
      </c>
      <c r="C832" s="202"/>
    </row>
    <row r="833" ht="17.25" customHeight="1" spans="1:3">
      <c r="A833" s="203" t="s">
        <v>518</v>
      </c>
      <c r="B833" s="204"/>
      <c r="C833" s="205"/>
    </row>
    <row r="834" ht="17.25" customHeight="1" spans="1:3">
      <c r="A834" s="203" t="s">
        <v>519</v>
      </c>
      <c r="B834" s="204"/>
      <c r="C834" s="205"/>
    </row>
    <row r="835" ht="17.25" customHeight="1" spans="1:3">
      <c r="A835" s="198" t="s">
        <v>1124</v>
      </c>
      <c r="B835" s="201">
        <f>223+3894+223</f>
        <v>4340</v>
      </c>
      <c r="C835" s="202"/>
    </row>
    <row r="836" ht="17.25" customHeight="1" spans="1:3">
      <c r="A836" s="203" t="s">
        <v>1125</v>
      </c>
      <c r="B836" s="204"/>
      <c r="C836" s="205"/>
    </row>
    <row r="837" ht="17.25" customHeight="1" spans="1:3">
      <c r="A837" s="203" t="s">
        <v>1126</v>
      </c>
      <c r="B837" s="204"/>
      <c r="C837" s="205"/>
    </row>
    <row r="838" ht="17.25" customHeight="1" spans="1:3">
      <c r="A838" s="198" t="s">
        <v>1127</v>
      </c>
      <c r="B838" s="201">
        <v>1</v>
      </c>
      <c r="C838" s="202"/>
    </row>
    <row r="839" ht="17.25" customHeight="1" spans="1:3">
      <c r="A839" s="198" t="s">
        <v>1128</v>
      </c>
      <c r="B839" s="201">
        <v>2873</v>
      </c>
      <c r="C839" s="202"/>
    </row>
    <row r="840" ht="17.25" customHeight="1" spans="1:3">
      <c r="A840" s="203" t="s">
        <v>1129</v>
      </c>
      <c r="B840" s="204"/>
      <c r="C840" s="205"/>
    </row>
    <row r="841" ht="17.25" customHeight="1" spans="1:3">
      <c r="A841" s="203" t="s">
        <v>1130</v>
      </c>
      <c r="B841" s="204"/>
      <c r="C841" s="205"/>
    </row>
    <row r="842" ht="17.25" customHeight="1" spans="1:3">
      <c r="A842" s="203" t="s">
        <v>1131</v>
      </c>
      <c r="B842" s="204"/>
      <c r="C842" s="205"/>
    </row>
    <row r="843" ht="17.25" customHeight="1" spans="1:3">
      <c r="A843" s="198" t="s">
        <v>1132</v>
      </c>
      <c r="B843" s="201">
        <f>10+144+10</f>
        <v>164</v>
      </c>
      <c r="C843" s="202"/>
    </row>
    <row r="844" ht="17.25" customHeight="1" spans="1:3">
      <c r="A844" s="203" t="s">
        <v>1133</v>
      </c>
      <c r="B844" s="204"/>
      <c r="C844" s="205"/>
    </row>
    <row r="845" ht="17.25" customHeight="1" spans="1:3">
      <c r="A845" s="203" t="s">
        <v>1134</v>
      </c>
      <c r="B845" s="204"/>
      <c r="C845" s="205"/>
    </row>
    <row r="846" ht="17.25" customHeight="1" spans="1:3">
      <c r="A846" s="203" t="s">
        <v>1135</v>
      </c>
      <c r="B846" s="204"/>
      <c r="C846" s="205"/>
    </row>
    <row r="847" ht="17.25" customHeight="1" spans="1:3">
      <c r="A847" s="203" t="s">
        <v>1136</v>
      </c>
      <c r="B847" s="204"/>
      <c r="C847" s="205"/>
    </row>
    <row r="848" ht="17.25" customHeight="1" spans="1:3">
      <c r="A848" s="203" t="s">
        <v>1137</v>
      </c>
      <c r="B848" s="204"/>
      <c r="C848" s="205"/>
    </row>
    <row r="849" ht="17.25" customHeight="1" spans="1:3">
      <c r="A849" s="203" t="s">
        <v>1138</v>
      </c>
      <c r="B849" s="204"/>
      <c r="C849" s="205"/>
    </row>
    <row r="850" ht="17.25" customHeight="1" spans="1:3">
      <c r="A850" s="203" t="s">
        <v>1139</v>
      </c>
      <c r="B850" s="204"/>
      <c r="C850" s="205"/>
    </row>
    <row r="851" ht="17.25" customHeight="1" spans="1:3">
      <c r="A851" s="198" t="s">
        <v>1140</v>
      </c>
      <c r="B851" s="201">
        <f>4+47+4</f>
        <v>55</v>
      </c>
      <c r="C851" s="202"/>
    </row>
    <row r="852" ht="17.25" customHeight="1" spans="1:3">
      <c r="A852" s="203" t="s">
        <v>1141</v>
      </c>
      <c r="B852" s="204"/>
      <c r="C852" s="205"/>
    </row>
    <row r="853" ht="17.25" customHeight="1" spans="1:3">
      <c r="A853" s="203" t="s">
        <v>1142</v>
      </c>
      <c r="B853" s="204"/>
      <c r="C853" s="205"/>
    </row>
    <row r="854" ht="17.25" customHeight="1" spans="1:3">
      <c r="A854" s="203" t="s">
        <v>1108</v>
      </c>
      <c r="B854" s="204"/>
      <c r="C854" s="205"/>
    </row>
    <row r="855" ht="17.25" customHeight="1" spans="1:3">
      <c r="A855" s="203" t="s">
        <v>1143</v>
      </c>
      <c r="B855" s="204"/>
      <c r="C855" s="205"/>
    </row>
    <row r="856" ht="17.25" customHeight="1" spans="1:3">
      <c r="A856" s="198" t="s">
        <v>1144</v>
      </c>
      <c r="B856" s="199">
        <f>SUM(B857:B883)</f>
        <v>14139</v>
      </c>
      <c r="C856" s="200"/>
    </row>
    <row r="857" ht="17.25" customHeight="1" spans="1:3">
      <c r="A857" s="198" t="s">
        <v>517</v>
      </c>
      <c r="B857" s="201">
        <f>18+490+18</f>
        <v>526</v>
      </c>
      <c r="C857" s="202"/>
    </row>
    <row r="858" ht="17.25" customHeight="1" spans="1:3">
      <c r="A858" s="203" t="s">
        <v>518</v>
      </c>
      <c r="B858" s="204"/>
      <c r="C858" s="205"/>
    </row>
    <row r="859" ht="17.25" customHeight="1" spans="1:3">
      <c r="A859" s="198" t="s">
        <v>519</v>
      </c>
      <c r="B859" s="201">
        <v>6</v>
      </c>
      <c r="C859" s="202"/>
    </row>
    <row r="860" ht="17.25" customHeight="1" spans="1:3">
      <c r="A860" s="203" t="s">
        <v>1145</v>
      </c>
      <c r="B860" s="204"/>
      <c r="C860" s="205"/>
    </row>
    <row r="861" ht="17.25" customHeight="1" spans="1:3">
      <c r="A861" s="203" t="s">
        <v>1146</v>
      </c>
      <c r="B861" s="204"/>
      <c r="C861" s="205"/>
    </row>
    <row r="862" ht="17.25" customHeight="1" spans="1:3">
      <c r="A862" s="198" t="s">
        <v>1147</v>
      </c>
      <c r="B862" s="201">
        <f>5+83+5</f>
        <v>93</v>
      </c>
      <c r="C862" s="202"/>
    </row>
    <row r="863" ht="17.25" customHeight="1" spans="1:3">
      <c r="A863" s="203" t="s">
        <v>1148</v>
      </c>
      <c r="B863" s="204"/>
      <c r="C863" s="205"/>
    </row>
    <row r="864" ht="17.25" customHeight="1" spans="1:3">
      <c r="A864" s="203" t="s">
        <v>1149</v>
      </c>
      <c r="B864" s="204"/>
      <c r="C864" s="205"/>
    </row>
    <row r="865" ht="17.25" customHeight="1" spans="1:3">
      <c r="A865" s="198" t="s">
        <v>1150</v>
      </c>
      <c r="B865" s="201">
        <f>8+145+8</f>
        <v>161</v>
      </c>
      <c r="C865" s="202"/>
    </row>
    <row r="866" ht="17.25" customHeight="1" spans="1:3">
      <c r="A866" s="198" t="s">
        <v>1151</v>
      </c>
      <c r="B866" s="201">
        <f>3+50+3</f>
        <v>56</v>
      </c>
      <c r="C866" s="202"/>
    </row>
    <row r="867" ht="17.25" customHeight="1" spans="1:3">
      <c r="A867" s="203" t="s">
        <v>1152</v>
      </c>
      <c r="B867" s="204"/>
      <c r="C867" s="205"/>
    </row>
    <row r="868" ht="17.25" customHeight="1" spans="1:3">
      <c r="A868" s="203" t="s">
        <v>1153</v>
      </c>
      <c r="B868" s="204"/>
      <c r="C868" s="205"/>
    </row>
    <row r="869" ht="17.25" customHeight="1" spans="1:3">
      <c r="A869" s="203" t="s">
        <v>1154</v>
      </c>
      <c r="B869" s="204"/>
      <c r="C869" s="205"/>
    </row>
    <row r="870" ht="17.25" customHeight="1" spans="1:3">
      <c r="A870" s="198" t="s">
        <v>1155</v>
      </c>
      <c r="B870" s="201">
        <v>3</v>
      </c>
      <c r="C870" s="202"/>
    </row>
    <row r="871" ht="17.25" customHeight="1" spans="1:3">
      <c r="A871" s="203" t="s">
        <v>1156</v>
      </c>
      <c r="B871" s="204"/>
      <c r="C871" s="205"/>
    </row>
    <row r="872" ht="17.25" customHeight="1" spans="1:3">
      <c r="A872" s="198" t="s">
        <v>1157</v>
      </c>
      <c r="B872" s="201">
        <f>2970+7</f>
        <v>2977</v>
      </c>
      <c r="C872" s="202"/>
    </row>
    <row r="873" ht="17.25" customHeight="1" spans="1:3">
      <c r="A873" s="198" t="s">
        <v>1158</v>
      </c>
      <c r="B873" s="201">
        <f>5+284+5</f>
        <v>294</v>
      </c>
      <c r="C873" s="202"/>
    </row>
    <row r="874" ht="17.25" customHeight="1" spans="1:3">
      <c r="A874" s="203" t="s">
        <v>1159</v>
      </c>
      <c r="B874" s="204"/>
      <c r="C874" s="205"/>
    </row>
    <row r="875" ht="17.25" customHeight="1" spans="1:3">
      <c r="A875" s="203" t="s">
        <v>1160</v>
      </c>
      <c r="B875" s="204"/>
      <c r="C875" s="205"/>
    </row>
    <row r="876" ht="17.25" customHeight="1" spans="1:3">
      <c r="A876" s="203" t="s">
        <v>1161</v>
      </c>
      <c r="B876" s="204"/>
      <c r="C876" s="205"/>
    </row>
    <row r="877" ht="17.25" customHeight="1" spans="1:3">
      <c r="A877" s="203" t="s">
        <v>1162</v>
      </c>
      <c r="B877" s="204"/>
      <c r="C877" s="205"/>
    </row>
    <row r="878" ht="17.25" customHeight="1" spans="1:3">
      <c r="A878" s="203" t="s">
        <v>1136</v>
      </c>
      <c r="B878" s="204"/>
      <c r="C878" s="205"/>
    </row>
    <row r="879" ht="17.25" customHeight="1" spans="1:3">
      <c r="A879" s="203" t="s">
        <v>1163</v>
      </c>
      <c r="B879" s="204"/>
      <c r="C879" s="205"/>
    </row>
    <row r="880" ht="17.25" customHeight="1" spans="1:3">
      <c r="A880" s="198" t="s">
        <v>1164</v>
      </c>
      <c r="B880" s="201">
        <f>4+59+4</f>
        <v>67</v>
      </c>
      <c r="C880" s="202"/>
    </row>
    <row r="881" ht="17.25" customHeight="1" spans="1:3">
      <c r="A881" s="203" t="s">
        <v>1165</v>
      </c>
      <c r="B881" s="204"/>
      <c r="C881" s="205"/>
    </row>
    <row r="882" ht="17.25" customHeight="1" spans="1:3">
      <c r="A882" s="203" t="s">
        <v>1166</v>
      </c>
      <c r="B882" s="204"/>
      <c r="C882" s="205"/>
    </row>
    <row r="883" ht="17.25" customHeight="1" spans="1:3">
      <c r="A883" s="198" t="s">
        <v>1167</v>
      </c>
      <c r="B883" s="201">
        <f>400+9556</f>
        <v>9956</v>
      </c>
      <c r="C883" s="202"/>
    </row>
    <row r="884" ht="17.25" customHeight="1" spans="1:3">
      <c r="A884" s="198" t="s">
        <v>1168</v>
      </c>
      <c r="B884" s="199">
        <f>SUM(B885:B894)</f>
        <v>26447</v>
      </c>
      <c r="C884" s="200"/>
    </row>
    <row r="885" ht="17.25" customHeight="1" spans="1:3">
      <c r="A885" s="198" t="s">
        <v>517</v>
      </c>
      <c r="B885" s="201">
        <v>305</v>
      </c>
      <c r="C885" s="202"/>
    </row>
    <row r="886" ht="17.25" customHeight="1" spans="1:3">
      <c r="A886" s="203" t="s">
        <v>518</v>
      </c>
      <c r="B886" s="204"/>
      <c r="C886" s="205"/>
    </row>
    <row r="887" ht="17.25" customHeight="1" spans="1:3">
      <c r="A887" s="203" t="s">
        <v>519</v>
      </c>
      <c r="B887" s="204"/>
      <c r="C887" s="205"/>
    </row>
    <row r="888" ht="17.25" customHeight="1" spans="1:3">
      <c r="A888" s="198" t="s">
        <v>1169</v>
      </c>
      <c r="B888" s="201">
        <v>13000</v>
      </c>
      <c r="C888" s="202"/>
    </row>
    <row r="889" ht="17.25" customHeight="1" spans="1:3">
      <c r="A889" s="198" t="s">
        <v>1170</v>
      </c>
      <c r="B889" s="201">
        <v>5000</v>
      </c>
      <c r="C889" s="202"/>
    </row>
    <row r="890" ht="17.25" customHeight="1" spans="1:3">
      <c r="A890" s="198" t="s">
        <v>1171</v>
      </c>
      <c r="B890" s="201">
        <f>2023+3000</f>
        <v>5023</v>
      </c>
      <c r="C890" s="202"/>
    </row>
    <row r="891" ht="17.25" customHeight="1" spans="1:3">
      <c r="A891" s="198" t="s">
        <v>1172</v>
      </c>
      <c r="B891" s="201">
        <v>2000</v>
      </c>
      <c r="C891" s="202"/>
    </row>
    <row r="892" ht="17.25" customHeight="1" spans="1:3">
      <c r="A892" s="203" t="s">
        <v>1173</v>
      </c>
      <c r="B892" s="204"/>
      <c r="C892" s="205"/>
    </row>
    <row r="893" ht="17.25" customHeight="1" spans="1:3">
      <c r="A893" s="203" t="s">
        <v>1174</v>
      </c>
      <c r="B893" s="204"/>
      <c r="C893" s="205"/>
    </row>
    <row r="894" ht="17.25" customHeight="1" spans="1:3">
      <c r="A894" s="198" t="s">
        <v>1175</v>
      </c>
      <c r="B894" s="201">
        <v>1119</v>
      </c>
      <c r="C894" s="202"/>
    </row>
    <row r="895" ht="17.25" customHeight="1" spans="1:3">
      <c r="A895" s="198" t="s">
        <v>1176</v>
      </c>
      <c r="B895" s="199">
        <f>SUM(B896:B901)</f>
        <v>10389</v>
      </c>
      <c r="C895" s="200"/>
    </row>
    <row r="896" ht="17.25" customHeight="1" spans="1:3">
      <c r="A896" s="203" t="s">
        <v>1177</v>
      </c>
      <c r="B896" s="204"/>
      <c r="C896" s="205"/>
    </row>
    <row r="897" ht="17.25" customHeight="1" spans="1:3">
      <c r="A897" s="203" t="s">
        <v>1178</v>
      </c>
      <c r="B897" s="204"/>
      <c r="C897" s="205"/>
    </row>
    <row r="898" ht="17.25" customHeight="1" spans="1:3">
      <c r="A898" s="198" t="s">
        <v>1179</v>
      </c>
      <c r="B898" s="201">
        <f>1824+7677</f>
        <v>9501</v>
      </c>
      <c r="C898" s="202"/>
    </row>
    <row r="899" ht="17.25" customHeight="1" spans="1:3">
      <c r="A899" s="198" t="s">
        <v>1180</v>
      </c>
      <c r="B899" s="201">
        <v>888</v>
      </c>
      <c r="C899" s="202"/>
    </row>
    <row r="900" ht="17.25" customHeight="1" spans="1:3">
      <c r="A900" s="203" t="s">
        <v>1181</v>
      </c>
      <c r="B900" s="204"/>
      <c r="C900" s="205"/>
    </row>
    <row r="901" ht="17.25" customHeight="1" spans="1:3">
      <c r="A901" s="203" t="s">
        <v>1182</v>
      </c>
      <c r="B901" s="204"/>
      <c r="C901" s="205"/>
    </row>
    <row r="902" ht="17.25" customHeight="1" spans="1:3">
      <c r="A902" s="198" t="s">
        <v>1183</v>
      </c>
      <c r="B902" s="199">
        <f>SUM(B903:B908)</f>
        <v>2359</v>
      </c>
      <c r="C902" s="200"/>
    </row>
    <row r="903" ht="17.25" customHeight="1" spans="1:3">
      <c r="A903" s="203" t="s">
        <v>1184</v>
      </c>
      <c r="B903" s="204"/>
      <c r="C903" s="205"/>
    </row>
    <row r="904" ht="17.25" customHeight="1" spans="1:3">
      <c r="A904" s="203" t="s">
        <v>1185</v>
      </c>
      <c r="B904" s="204"/>
      <c r="C904" s="205"/>
    </row>
    <row r="905" ht="17.25" customHeight="1" spans="1:3">
      <c r="A905" s="198" t="s">
        <v>1186</v>
      </c>
      <c r="B905" s="201">
        <f>610+966</f>
        <v>1576</v>
      </c>
      <c r="C905" s="202"/>
    </row>
    <row r="906" ht="17.25" customHeight="1" spans="1:3">
      <c r="A906" s="198" t="s">
        <v>1187</v>
      </c>
      <c r="B906" s="201">
        <f>303+480</f>
        <v>783</v>
      </c>
      <c r="C906" s="202"/>
    </row>
    <row r="907" ht="17.25" customHeight="1" spans="1:3">
      <c r="A907" s="203" t="s">
        <v>1188</v>
      </c>
      <c r="B907" s="204"/>
      <c r="C907" s="205"/>
    </row>
    <row r="908" ht="17.25" customHeight="1" spans="1:3">
      <c r="A908" s="203" t="s">
        <v>1189</v>
      </c>
      <c r="B908" s="204"/>
      <c r="C908" s="205"/>
    </row>
    <row r="909" ht="17.25" customHeight="1" spans="1:3">
      <c r="A909" s="203" t="s">
        <v>1190</v>
      </c>
      <c r="B909" s="206">
        <f>SUM(B910:B911)</f>
        <v>0</v>
      </c>
      <c r="C909" s="207"/>
    </row>
    <row r="910" ht="17.25" customHeight="1" spans="1:3">
      <c r="A910" s="203" t="s">
        <v>1191</v>
      </c>
      <c r="B910" s="204"/>
      <c r="C910" s="205"/>
    </row>
    <row r="911" ht="17.25" customHeight="1" spans="1:3">
      <c r="A911" s="203" t="s">
        <v>1192</v>
      </c>
      <c r="B911" s="204"/>
      <c r="C911" s="205"/>
    </row>
    <row r="912" ht="17.25" customHeight="1" spans="1:3">
      <c r="A912" s="203" t="s">
        <v>1193</v>
      </c>
      <c r="B912" s="206">
        <f>SUM(B913:B914)</f>
        <v>0</v>
      </c>
      <c r="C912" s="207"/>
    </row>
    <row r="913" ht="17.25" customHeight="1" spans="1:3">
      <c r="A913" s="203" t="s">
        <v>1194</v>
      </c>
      <c r="B913" s="204"/>
      <c r="C913" s="205"/>
    </row>
    <row r="914" ht="17.25" customHeight="1" spans="1:3">
      <c r="A914" s="203" t="s">
        <v>1195</v>
      </c>
      <c r="B914" s="204"/>
      <c r="C914" s="205"/>
    </row>
    <row r="915" ht="17.25" customHeight="1" spans="1:3">
      <c r="A915" s="198" t="s">
        <v>49</v>
      </c>
      <c r="B915" s="199">
        <f>B916+B939+B949+B959+B964+B971+B976</f>
        <v>4351</v>
      </c>
      <c r="C915" s="200"/>
    </row>
    <row r="916" ht="17.25" customHeight="1" spans="1:3">
      <c r="A916" s="198" t="s">
        <v>1196</v>
      </c>
      <c r="B916" s="199">
        <f>SUM(B917:B938)</f>
        <v>4351</v>
      </c>
      <c r="C916" s="200"/>
    </row>
    <row r="917" ht="17.25" customHeight="1" spans="1:3">
      <c r="A917" s="198" t="s">
        <v>517</v>
      </c>
      <c r="B917" s="201">
        <f>15+554+15</f>
        <v>584</v>
      </c>
      <c r="C917" s="202"/>
    </row>
    <row r="918" ht="17.25" customHeight="1" spans="1:3">
      <c r="A918" s="203" t="s">
        <v>518</v>
      </c>
      <c r="B918" s="204"/>
      <c r="C918" s="205"/>
    </row>
    <row r="919" ht="17.25" customHeight="1" spans="1:3">
      <c r="A919" s="198" t="s">
        <v>519</v>
      </c>
      <c r="B919" s="201">
        <v>13</v>
      </c>
      <c r="C919" s="202"/>
    </row>
    <row r="920" ht="17.25" customHeight="1" spans="1:3">
      <c r="A920" s="198" t="s">
        <v>1197</v>
      </c>
      <c r="B920" s="201">
        <v>5</v>
      </c>
      <c r="C920" s="202"/>
    </row>
    <row r="921" ht="17.25" customHeight="1" spans="1:3">
      <c r="A921" s="198" t="s">
        <v>1198</v>
      </c>
      <c r="B921" s="201">
        <f>113+1871+113</f>
        <v>2097</v>
      </c>
      <c r="C921" s="202"/>
    </row>
    <row r="922" ht="17.25" customHeight="1" spans="1:3">
      <c r="A922" s="198" t="s">
        <v>1199</v>
      </c>
      <c r="B922" s="201">
        <f>6+93+6</f>
        <v>105</v>
      </c>
      <c r="C922" s="202"/>
    </row>
    <row r="923" ht="17.25" customHeight="1" spans="1:3">
      <c r="A923" s="203" t="s">
        <v>1200</v>
      </c>
      <c r="B923" s="204"/>
      <c r="C923" s="205"/>
    </row>
    <row r="924" ht="17.25" customHeight="1" spans="1:3">
      <c r="A924" s="203" t="s">
        <v>1201</v>
      </c>
      <c r="B924" s="204"/>
      <c r="C924" s="205"/>
    </row>
    <row r="925" ht="17.25" customHeight="1" spans="1:3">
      <c r="A925" s="198" t="s">
        <v>1202</v>
      </c>
      <c r="B925" s="201">
        <f>68+1235+68</f>
        <v>1371</v>
      </c>
      <c r="C925" s="202"/>
    </row>
    <row r="926" ht="17.25" customHeight="1" spans="1:3">
      <c r="A926" s="203" t="s">
        <v>1203</v>
      </c>
      <c r="B926" s="204"/>
      <c r="C926" s="205"/>
    </row>
    <row r="927" ht="17.25" customHeight="1" spans="1:3">
      <c r="A927" s="203" t="s">
        <v>1204</v>
      </c>
      <c r="B927" s="204"/>
      <c r="C927" s="205"/>
    </row>
    <row r="928" ht="17.25" customHeight="1" spans="1:3">
      <c r="A928" s="203" t="s">
        <v>1205</v>
      </c>
      <c r="B928" s="204"/>
      <c r="C928" s="205"/>
    </row>
    <row r="929" ht="17.25" customHeight="1" spans="1:3">
      <c r="A929" s="203" t="s">
        <v>1206</v>
      </c>
      <c r="B929" s="204"/>
      <c r="C929" s="205"/>
    </row>
    <row r="930" ht="17.25" customHeight="1" spans="1:3">
      <c r="A930" s="203" t="s">
        <v>1207</v>
      </c>
      <c r="B930" s="204"/>
      <c r="C930" s="205"/>
    </row>
    <row r="931" ht="17.25" customHeight="1" spans="1:3">
      <c r="A931" s="203" t="s">
        <v>1208</v>
      </c>
      <c r="B931" s="204"/>
      <c r="C931" s="205"/>
    </row>
    <row r="932" ht="17.25" customHeight="1" spans="1:3">
      <c r="A932" s="203" t="s">
        <v>1209</v>
      </c>
      <c r="B932" s="204"/>
      <c r="C932" s="205"/>
    </row>
    <row r="933" ht="17.25" customHeight="1" spans="1:3">
      <c r="A933" s="198" t="s">
        <v>1210</v>
      </c>
      <c r="B933" s="201">
        <f>10+156+10</f>
        <v>176</v>
      </c>
      <c r="C933" s="202"/>
    </row>
    <row r="934" ht="17.25" customHeight="1" spans="1:3">
      <c r="A934" s="203" t="s">
        <v>1211</v>
      </c>
      <c r="B934" s="204"/>
      <c r="C934" s="205"/>
    </row>
    <row r="935" ht="17.25" customHeight="1" spans="1:3">
      <c r="A935" s="203" t="s">
        <v>1212</v>
      </c>
      <c r="B935" s="204"/>
      <c r="C935" s="205"/>
    </row>
    <row r="936" ht="17.25" customHeight="1" spans="1:3">
      <c r="A936" s="203" t="s">
        <v>1213</v>
      </c>
      <c r="B936" s="204"/>
      <c r="C936" s="205"/>
    </row>
    <row r="937" ht="17.25" customHeight="1" spans="1:3">
      <c r="A937" s="203" t="s">
        <v>1214</v>
      </c>
      <c r="B937" s="204"/>
      <c r="C937" s="205"/>
    </row>
    <row r="938" ht="17.25" customHeight="1" spans="1:3">
      <c r="A938" s="203" t="s">
        <v>1215</v>
      </c>
      <c r="B938" s="204"/>
      <c r="C938" s="205"/>
    </row>
    <row r="939" ht="17.25" customHeight="1" spans="1:3">
      <c r="A939" s="203" t="s">
        <v>1216</v>
      </c>
      <c r="B939" s="206">
        <f>SUM(B940:B948)</f>
        <v>0</v>
      </c>
      <c r="C939" s="207"/>
    </row>
    <row r="940" ht="17.25" customHeight="1" spans="1:3">
      <c r="A940" s="203" t="s">
        <v>517</v>
      </c>
      <c r="B940" s="204"/>
      <c r="C940" s="205"/>
    </row>
    <row r="941" ht="17.25" customHeight="1" spans="1:3">
      <c r="A941" s="203" t="s">
        <v>518</v>
      </c>
      <c r="B941" s="204"/>
      <c r="C941" s="205"/>
    </row>
    <row r="942" ht="17.25" customHeight="1" spans="1:3">
      <c r="A942" s="203" t="s">
        <v>519</v>
      </c>
      <c r="B942" s="204"/>
      <c r="C942" s="205"/>
    </row>
    <row r="943" ht="17.25" customHeight="1" spans="1:3">
      <c r="A943" s="203" t="s">
        <v>1217</v>
      </c>
      <c r="B943" s="204"/>
      <c r="C943" s="205"/>
    </row>
    <row r="944" ht="17.25" customHeight="1" spans="1:3">
      <c r="A944" s="203" t="s">
        <v>1218</v>
      </c>
      <c r="B944" s="204"/>
      <c r="C944" s="205"/>
    </row>
    <row r="945" ht="17.25" customHeight="1" spans="1:3">
      <c r="A945" s="203" t="s">
        <v>1219</v>
      </c>
      <c r="B945" s="204"/>
      <c r="C945" s="205"/>
    </row>
    <row r="946" ht="17.25" customHeight="1" spans="1:3">
      <c r="A946" s="203" t="s">
        <v>1220</v>
      </c>
      <c r="B946" s="204"/>
      <c r="C946" s="205"/>
    </row>
    <row r="947" ht="17.25" customHeight="1" spans="1:3">
      <c r="A947" s="203" t="s">
        <v>1221</v>
      </c>
      <c r="B947" s="204"/>
      <c r="C947" s="205"/>
    </row>
    <row r="948" ht="17.25" customHeight="1" spans="1:3">
      <c r="A948" s="203" t="s">
        <v>1222</v>
      </c>
      <c r="B948" s="204"/>
      <c r="C948" s="205"/>
    </row>
    <row r="949" ht="17.25" customHeight="1" spans="1:3">
      <c r="A949" s="203" t="s">
        <v>1223</v>
      </c>
      <c r="B949" s="206">
        <f>SUM(B950:B958)</f>
        <v>0</v>
      </c>
      <c r="C949" s="207"/>
    </row>
    <row r="950" ht="17.25" customHeight="1" spans="1:3">
      <c r="A950" s="203" t="s">
        <v>517</v>
      </c>
      <c r="B950" s="204"/>
      <c r="C950" s="205"/>
    </row>
    <row r="951" ht="17.25" customHeight="1" spans="1:3">
      <c r="A951" s="203" t="s">
        <v>518</v>
      </c>
      <c r="B951" s="204"/>
      <c r="C951" s="205"/>
    </row>
    <row r="952" ht="17.25" customHeight="1" spans="1:3">
      <c r="A952" s="203" t="s">
        <v>519</v>
      </c>
      <c r="B952" s="204"/>
      <c r="C952" s="205"/>
    </row>
    <row r="953" ht="17.25" customHeight="1" spans="1:3">
      <c r="A953" s="203" t="s">
        <v>1224</v>
      </c>
      <c r="B953" s="204"/>
      <c r="C953" s="205"/>
    </row>
    <row r="954" ht="17.25" customHeight="1" spans="1:3">
      <c r="A954" s="203" t="s">
        <v>1225</v>
      </c>
      <c r="B954" s="204"/>
      <c r="C954" s="205"/>
    </row>
    <row r="955" ht="17.25" customHeight="1" spans="1:3">
      <c r="A955" s="203" t="s">
        <v>1226</v>
      </c>
      <c r="B955" s="204"/>
      <c r="C955" s="205"/>
    </row>
    <row r="956" ht="17.25" customHeight="1" spans="1:3">
      <c r="A956" s="203" t="s">
        <v>1227</v>
      </c>
      <c r="B956" s="204"/>
      <c r="C956" s="205"/>
    </row>
    <row r="957" ht="17.25" customHeight="1" spans="1:3">
      <c r="A957" s="203" t="s">
        <v>1228</v>
      </c>
      <c r="B957" s="204"/>
      <c r="C957" s="205"/>
    </row>
    <row r="958" ht="17.25" customHeight="1" spans="1:3">
      <c r="A958" s="203" t="s">
        <v>1229</v>
      </c>
      <c r="B958" s="204"/>
      <c r="C958" s="205"/>
    </row>
    <row r="959" ht="17.25" customHeight="1" spans="1:3">
      <c r="A959" s="203" t="s">
        <v>1230</v>
      </c>
      <c r="B959" s="206">
        <f>SUM(B960:B963)</f>
        <v>0</v>
      </c>
      <c r="C959" s="207"/>
    </row>
    <row r="960" ht="17.25" customHeight="1" spans="1:3">
      <c r="A960" s="203" t="s">
        <v>1231</v>
      </c>
      <c r="B960" s="204"/>
      <c r="C960" s="205"/>
    </row>
    <row r="961" ht="17.25" customHeight="1" spans="1:3">
      <c r="A961" s="203" t="s">
        <v>1232</v>
      </c>
      <c r="B961" s="204"/>
      <c r="C961" s="205"/>
    </row>
    <row r="962" ht="17.25" customHeight="1" spans="1:3">
      <c r="A962" s="203" t="s">
        <v>1233</v>
      </c>
      <c r="B962" s="204"/>
      <c r="C962" s="205"/>
    </row>
    <row r="963" ht="17.25" customHeight="1" spans="1:3">
      <c r="A963" s="203" t="s">
        <v>1234</v>
      </c>
      <c r="B963" s="204"/>
      <c r="C963" s="205"/>
    </row>
    <row r="964" ht="17.25" customHeight="1" spans="1:3">
      <c r="A964" s="203" t="s">
        <v>1235</v>
      </c>
      <c r="B964" s="206">
        <f>SUM(B965:B970)</f>
        <v>0</v>
      </c>
      <c r="C964" s="207"/>
    </row>
    <row r="965" ht="17.25" customHeight="1" spans="1:3">
      <c r="A965" s="203" t="s">
        <v>517</v>
      </c>
      <c r="B965" s="204"/>
      <c r="C965" s="205"/>
    </row>
    <row r="966" ht="17.25" customHeight="1" spans="1:3">
      <c r="A966" s="203" t="s">
        <v>518</v>
      </c>
      <c r="B966" s="204"/>
      <c r="C966" s="205"/>
    </row>
    <row r="967" ht="17.25" customHeight="1" spans="1:3">
      <c r="A967" s="203" t="s">
        <v>519</v>
      </c>
      <c r="B967" s="204"/>
      <c r="C967" s="205"/>
    </row>
    <row r="968" ht="17.25" customHeight="1" spans="1:3">
      <c r="A968" s="203" t="s">
        <v>1221</v>
      </c>
      <c r="B968" s="204"/>
      <c r="C968" s="205"/>
    </row>
    <row r="969" ht="17.25" customHeight="1" spans="1:3">
      <c r="A969" s="203" t="s">
        <v>1236</v>
      </c>
      <c r="B969" s="204"/>
      <c r="C969" s="205"/>
    </row>
    <row r="970" ht="17.25" customHeight="1" spans="1:3">
      <c r="A970" s="203" t="s">
        <v>1237</v>
      </c>
      <c r="B970" s="204"/>
      <c r="C970" s="205"/>
    </row>
    <row r="971" ht="17.25" customHeight="1" spans="1:3">
      <c r="A971" s="203" t="s">
        <v>1238</v>
      </c>
      <c r="B971" s="206">
        <f>SUM(B972:B975)</f>
        <v>0</v>
      </c>
      <c r="C971" s="207"/>
    </row>
    <row r="972" ht="17.25" customHeight="1" spans="1:3">
      <c r="A972" s="203" t="s">
        <v>1239</v>
      </c>
      <c r="B972" s="204"/>
      <c r="C972" s="205"/>
    </row>
    <row r="973" ht="17.25" customHeight="1" spans="1:3">
      <c r="A973" s="203" t="s">
        <v>1240</v>
      </c>
      <c r="B973" s="204"/>
      <c r="C973" s="205"/>
    </row>
    <row r="974" ht="17.25" customHeight="1" spans="1:3">
      <c r="A974" s="203" t="s">
        <v>1241</v>
      </c>
      <c r="B974" s="204"/>
      <c r="C974" s="205"/>
    </row>
    <row r="975" ht="17.25" customHeight="1" spans="1:3">
      <c r="A975" s="203" t="s">
        <v>1242</v>
      </c>
      <c r="B975" s="204"/>
      <c r="C975" s="205"/>
    </row>
    <row r="976" ht="17.25" customHeight="1" spans="1:3">
      <c r="A976" s="203" t="s">
        <v>1243</v>
      </c>
      <c r="B976" s="206">
        <f>SUM(B977:B978)</f>
        <v>0</v>
      </c>
      <c r="C976" s="207"/>
    </row>
    <row r="977" ht="17.25" customHeight="1" spans="1:3">
      <c r="A977" s="203" t="s">
        <v>1244</v>
      </c>
      <c r="B977" s="204"/>
      <c r="C977" s="205"/>
    </row>
    <row r="978" ht="17.25" customHeight="1" spans="1:3">
      <c r="A978" s="203" t="s">
        <v>1245</v>
      </c>
      <c r="B978" s="204"/>
      <c r="C978" s="205"/>
    </row>
    <row r="979" ht="17.25" customHeight="1" spans="1:3">
      <c r="A979" s="198" t="s">
        <v>50</v>
      </c>
      <c r="B979" s="199">
        <f>B980+B990+B1006+B1011+B1025+B1032+B1039</f>
        <v>207</v>
      </c>
      <c r="C979" s="200"/>
    </row>
    <row r="980" ht="17.25" customHeight="1" spans="1:3">
      <c r="A980" s="203" t="s">
        <v>1246</v>
      </c>
      <c r="B980" s="206">
        <f>SUM(B981:B989)</f>
        <v>0</v>
      </c>
      <c r="C980" s="207"/>
    </row>
    <row r="981" ht="17.25" customHeight="1" spans="1:3">
      <c r="A981" s="203" t="s">
        <v>517</v>
      </c>
      <c r="B981" s="204"/>
      <c r="C981" s="205"/>
    </row>
    <row r="982" ht="17.25" customHeight="1" spans="1:3">
      <c r="A982" s="203" t="s">
        <v>518</v>
      </c>
      <c r="B982" s="204"/>
      <c r="C982" s="205"/>
    </row>
    <row r="983" ht="17.25" customHeight="1" spans="1:3">
      <c r="A983" s="203" t="s">
        <v>519</v>
      </c>
      <c r="B983" s="204"/>
      <c r="C983" s="205"/>
    </row>
    <row r="984" ht="17.25" customHeight="1" spans="1:3">
      <c r="A984" s="203" t="s">
        <v>1247</v>
      </c>
      <c r="B984" s="204"/>
      <c r="C984" s="205"/>
    </row>
    <row r="985" ht="17.25" customHeight="1" spans="1:3">
      <c r="A985" s="203" t="s">
        <v>1248</v>
      </c>
      <c r="B985" s="204"/>
      <c r="C985" s="205"/>
    </row>
    <row r="986" ht="17.25" customHeight="1" spans="1:3">
      <c r="A986" s="203" t="s">
        <v>1249</v>
      </c>
      <c r="B986" s="204"/>
      <c r="C986" s="205"/>
    </row>
    <row r="987" ht="17.25" customHeight="1" spans="1:3">
      <c r="A987" s="203" t="s">
        <v>1250</v>
      </c>
      <c r="B987" s="204"/>
      <c r="C987" s="205"/>
    </row>
    <row r="988" ht="17.25" customHeight="1" spans="1:3">
      <c r="A988" s="203" t="s">
        <v>1251</v>
      </c>
      <c r="B988" s="204"/>
      <c r="C988" s="205"/>
    </row>
    <row r="989" ht="17.25" customHeight="1" spans="1:3">
      <c r="A989" s="203" t="s">
        <v>1252</v>
      </c>
      <c r="B989" s="204"/>
      <c r="C989" s="205"/>
    </row>
    <row r="990" ht="17.25" customHeight="1" spans="1:3">
      <c r="A990" s="203" t="s">
        <v>1253</v>
      </c>
      <c r="B990" s="206">
        <f>SUM(B991:B1005)</f>
        <v>0</v>
      </c>
      <c r="C990" s="207"/>
    </row>
    <row r="991" ht="17.25" customHeight="1" spans="1:3">
      <c r="A991" s="203" t="s">
        <v>517</v>
      </c>
      <c r="B991" s="204"/>
      <c r="C991" s="205"/>
    </row>
    <row r="992" ht="17.25" customHeight="1" spans="1:3">
      <c r="A992" s="203" t="s">
        <v>518</v>
      </c>
      <c r="B992" s="204"/>
      <c r="C992" s="205"/>
    </row>
    <row r="993" ht="17.25" customHeight="1" spans="1:3">
      <c r="A993" s="203" t="s">
        <v>519</v>
      </c>
      <c r="B993" s="204"/>
      <c r="C993" s="205"/>
    </row>
    <row r="994" ht="17.25" customHeight="1" spans="1:3">
      <c r="A994" s="203" t="s">
        <v>1254</v>
      </c>
      <c r="B994" s="204"/>
      <c r="C994" s="205"/>
    </row>
    <row r="995" ht="17.25" customHeight="1" spans="1:3">
      <c r="A995" s="203" t="s">
        <v>1255</v>
      </c>
      <c r="B995" s="204"/>
      <c r="C995" s="205"/>
    </row>
    <row r="996" ht="17.25" customHeight="1" spans="1:3">
      <c r="A996" s="203" t="s">
        <v>1256</v>
      </c>
      <c r="B996" s="204"/>
      <c r="C996" s="205"/>
    </row>
    <row r="997" ht="17.25" customHeight="1" spans="1:3">
      <c r="A997" s="203" t="s">
        <v>1257</v>
      </c>
      <c r="B997" s="204"/>
      <c r="C997" s="205"/>
    </row>
    <row r="998" ht="17.25" customHeight="1" spans="1:3">
      <c r="A998" s="203" t="s">
        <v>1258</v>
      </c>
      <c r="B998" s="204"/>
      <c r="C998" s="205"/>
    </row>
    <row r="999" ht="17.25" customHeight="1" spans="1:3">
      <c r="A999" s="203" t="s">
        <v>1259</v>
      </c>
      <c r="B999" s="204"/>
      <c r="C999" s="205"/>
    </row>
    <row r="1000" ht="17.25" customHeight="1" spans="1:3">
      <c r="A1000" s="203" t="s">
        <v>1260</v>
      </c>
      <c r="B1000" s="204"/>
      <c r="C1000" s="205"/>
    </row>
    <row r="1001" ht="17.25" customHeight="1" spans="1:3">
      <c r="A1001" s="203" t="s">
        <v>1261</v>
      </c>
      <c r="B1001" s="204"/>
      <c r="C1001" s="205"/>
    </row>
    <row r="1002" ht="17.25" customHeight="1" spans="1:3">
      <c r="A1002" s="203" t="s">
        <v>1262</v>
      </c>
      <c r="B1002" s="204"/>
      <c r="C1002" s="205"/>
    </row>
    <row r="1003" ht="17.25" customHeight="1" spans="1:3">
      <c r="A1003" s="203" t="s">
        <v>1263</v>
      </c>
      <c r="B1003" s="204"/>
      <c r="C1003" s="205"/>
    </row>
    <row r="1004" ht="17.25" customHeight="1" spans="1:3">
      <c r="A1004" s="203" t="s">
        <v>1264</v>
      </c>
      <c r="B1004" s="204"/>
      <c r="C1004" s="205"/>
    </row>
    <row r="1005" ht="17.25" customHeight="1" spans="1:3">
      <c r="A1005" s="203" t="s">
        <v>1265</v>
      </c>
      <c r="B1005" s="204"/>
      <c r="C1005" s="205"/>
    </row>
    <row r="1006" ht="17.25" customHeight="1" spans="1:3">
      <c r="A1006" s="203" t="s">
        <v>1266</v>
      </c>
      <c r="B1006" s="206">
        <f>SUM(B1007:B1010)</f>
        <v>0</v>
      </c>
      <c r="C1006" s="207"/>
    </row>
    <row r="1007" ht="17.25" customHeight="1" spans="1:3">
      <c r="A1007" s="203" t="s">
        <v>517</v>
      </c>
      <c r="B1007" s="204"/>
      <c r="C1007" s="205"/>
    </row>
    <row r="1008" ht="17.25" customHeight="1" spans="1:3">
      <c r="A1008" s="203" t="s">
        <v>518</v>
      </c>
      <c r="B1008" s="204"/>
      <c r="C1008" s="205"/>
    </row>
    <row r="1009" ht="17.25" customHeight="1" spans="1:3">
      <c r="A1009" s="203" t="s">
        <v>519</v>
      </c>
      <c r="B1009" s="204"/>
      <c r="C1009" s="205"/>
    </row>
    <row r="1010" ht="17.25" customHeight="1" spans="1:3">
      <c r="A1010" s="203" t="s">
        <v>1267</v>
      </c>
      <c r="B1010" s="204"/>
      <c r="C1010" s="205"/>
    </row>
    <row r="1011" ht="17.25" customHeight="1" spans="1:3">
      <c r="A1011" s="198" t="s">
        <v>1268</v>
      </c>
      <c r="B1011" s="199">
        <f>SUM(B1012:B1024)</f>
        <v>79</v>
      </c>
      <c r="C1011" s="200"/>
    </row>
    <row r="1012" ht="17.25" customHeight="1" spans="1:3">
      <c r="A1012" s="198" t="s">
        <v>517</v>
      </c>
      <c r="B1012" s="201">
        <f>6+67+6</f>
        <v>79</v>
      </c>
      <c r="C1012" s="202"/>
    </row>
    <row r="1013" ht="17.25" customHeight="1" spans="1:3">
      <c r="A1013" s="203" t="s">
        <v>518</v>
      </c>
      <c r="B1013" s="204"/>
      <c r="C1013" s="205"/>
    </row>
    <row r="1014" ht="17.25" customHeight="1" spans="1:3">
      <c r="A1014" s="203" t="s">
        <v>519</v>
      </c>
      <c r="B1014" s="204"/>
      <c r="C1014" s="205"/>
    </row>
    <row r="1015" ht="17.25" customHeight="1" spans="1:3">
      <c r="A1015" s="203" t="s">
        <v>1269</v>
      </c>
      <c r="B1015" s="204"/>
      <c r="C1015" s="205"/>
    </row>
    <row r="1016" ht="17.25" customHeight="1" spans="1:3">
      <c r="A1016" s="203" t="s">
        <v>1270</v>
      </c>
      <c r="B1016" s="204"/>
      <c r="C1016" s="205"/>
    </row>
    <row r="1017" ht="17.25" customHeight="1" spans="1:3">
      <c r="A1017" s="203" t="s">
        <v>1271</v>
      </c>
      <c r="B1017" s="204"/>
      <c r="C1017" s="205"/>
    </row>
    <row r="1018" ht="17.25" customHeight="1" spans="1:3">
      <c r="A1018" s="203" t="s">
        <v>1272</v>
      </c>
      <c r="B1018" s="204"/>
      <c r="C1018" s="205"/>
    </row>
    <row r="1019" ht="17.25" customHeight="1" spans="1:3">
      <c r="A1019" s="203" t="s">
        <v>1273</v>
      </c>
      <c r="B1019" s="204"/>
      <c r="C1019" s="205"/>
    </row>
    <row r="1020" ht="17.25" customHeight="1" spans="1:3">
      <c r="A1020" s="203" t="s">
        <v>1274</v>
      </c>
      <c r="B1020" s="204"/>
      <c r="C1020" s="205"/>
    </row>
    <row r="1021" ht="17.25" customHeight="1" spans="1:3">
      <c r="A1021" s="203" t="s">
        <v>1275</v>
      </c>
      <c r="B1021" s="204"/>
      <c r="C1021" s="205"/>
    </row>
    <row r="1022" ht="17.25" customHeight="1" spans="1:3">
      <c r="A1022" s="203" t="s">
        <v>1221</v>
      </c>
      <c r="B1022" s="204"/>
      <c r="C1022" s="205"/>
    </row>
    <row r="1023" ht="17.25" customHeight="1" spans="1:3">
      <c r="A1023" s="203" t="s">
        <v>1276</v>
      </c>
      <c r="B1023" s="204"/>
      <c r="C1023" s="205"/>
    </row>
    <row r="1024" ht="17.25" customHeight="1" spans="1:3">
      <c r="A1024" s="203" t="s">
        <v>1277</v>
      </c>
      <c r="B1024" s="204"/>
      <c r="C1024" s="205"/>
    </row>
    <row r="1025" ht="17.25" customHeight="1" spans="1:3">
      <c r="A1025" s="198" t="s">
        <v>1278</v>
      </c>
      <c r="B1025" s="199">
        <f>SUM(B1026:B1031)</f>
        <v>84</v>
      </c>
      <c r="C1025" s="200"/>
    </row>
    <row r="1026" ht="17.25" customHeight="1" spans="1:3">
      <c r="A1026" s="198" t="s">
        <v>517</v>
      </c>
      <c r="B1026" s="201">
        <f>5+74+5</f>
        <v>84</v>
      </c>
      <c r="C1026" s="202"/>
    </row>
    <row r="1027" ht="17.25" customHeight="1" spans="1:3">
      <c r="A1027" s="203" t="s">
        <v>518</v>
      </c>
      <c r="B1027" s="204"/>
      <c r="C1027" s="205"/>
    </row>
    <row r="1028" ht="17.25" customHeight="1" spans="1:3">
      <c r="A1028" s="203" t="s">
        <v>519</v>
      </c>
      <c r="B1028" s="204"/>
      <c r="C1028" s="205"/>
    </row>
    <row r="1029" ht="17.25" customHeight="1" spans="1:3">
      <c r="A1029" s="203" t="s">
        <v>1279</v>
      </c>
      <c r="B1029" s="204"/>
      <c r="C1029" s="205"/>
    </row>
    <row r="1030" ht="17.25" customHeight="1" spans="1:3">
      <c r="A1030" s="203" t="s">
        <v>1280</v>
      </c>
      <c r="B1030" s="204"/>
      <c r="C1030" s="205"/>
    </row>
    <row r="1031" ht="17.25" customHeight="1" spans="1:3">
      <c r="A1031" s="203" t="s">
        <v>1281</v>
      </c>
      <c r="B1031" s="204"/>
      <c r="C1031" s="205"/>
    </row>
    <row r="1032" ht="17.25" customHeight="1" spans="1:3">
      <c r="A1032" s="198" t="s">
        <v>1282</v>
      </c>
      <c r="B1032" s="199">
        <f>SUM(B1033:B1038)</f>
        <v>44</v>
      </c>
      <c r="C1032" s="200"/>
    </row>
    <row r="1033" ht="17.25" customHeight="1" spans="1:3">
      <c r="A1033" s="203" t="s">
        <v>517</v>
      </c>
      <c r="B1033" s="204"/>
      <c r="C1033" s="205"/>
    </row>
    <row r="1034" ht="17.25" customHeight="1" spans="1:3">
      <c r="A1034" s="203" t="s">
        <v>518</v>
      </c>
      <c r="B1034" s="204"/>
      <c r="C1034" s="205"/>
    </row>
    <row r="1035" ht="17.25" customHeight="1" spans="1:3">
      <c r="A1035" s="203" t="s">
        <v>519</v>
      </c>
      <c r="B1035" s="204"/>
      <c r="C1035" s="205"/>
    </row>
    <row r="1036" ht="17.25" customHeight="1" spans="1:3">
      <c r="A1036" s="203" t="s">
        <v>1283</v>
      </c>
      <c r="B1036" s="204"/>
      <c r="C1036" s="205"/>
    </row>
    <row r="1037" ht="17.25" customHeight="1" spans="1:3">
      <c r="A1037" s="203" t="s">
        <v>1284</v>
      </c>
      <c r="B1037" s="204"/>
      <c r="C1037" s="205"/>
    </row>
    <row r="1038" ht="17.25" customHeight="1" spans="1:3">
      <c r="A1038" s="198" t="s">
        <v>1285</v>
      </c>
      <c r="B1038" s="201">
        <v>44</v>
      </c>
      <c r="C1038" s="202"/>
    </row>
    <row r="1039" ht="17.25" customHeight="1" spans="1:3">
      <c r="A1039" s="203" t="s">
        <v>1286</v>
      </c>
      <c r="B1039" s="206">
        <f>SUM(B1040:B1044)</f>
        <v>0</v>
      </c>
      <c r="C1039" s="207"/>
    </row>
    <row r="1040" ht="17.25" customHeight="1" spans="1:3">
      <c r="A1040" s="203" t="s">
        <v>1287</v>
      </c>
      <c r="B1040" s="204"/>
      <c r="C1040" s="205"/>
    </row>
    <row r="1041" ht="17.25" customHeight="1" spans="1:3">
      <c r="A1041" s="203" t="s">
        <v>1288</v>
      </c>
      <c r="B1041" s="204"/>
      <c r="C1041" s="205"/>
    </row>
    <row r="1042" ht="17.25" customHeight="1" spans="1:3">
      <c r="A1042" s="203" t="s">
        <v>1289</v>
      </c>
      <c r="B1042" s="204"/>
      <c r="C1042" s="205"/>
    </row>
    <row r="1043" ht="17.25" customHeight="1" spans="1:3">
      <c r="A1043" s="203" t="s">
        <v>1290</v>
      </c>
      <c r="B1043" s="204"/>
      <c r="C1043" s="205"/>
    </row>
    <row r="1044" ht="17.25" customHeight="1" spans="1:3">
      <c r="A1044" s="203" t="s">
        <v>1291</v>
      </c>
      <c r="B1044" s="204"/>
      <c r="C1044" s="205"/>
    </row>
    <row r="1045" ht="17.25" customHeight="1" spans="1:3">
      <c r="A1045" s="198" t="s">
        <v>51</v>
      </c>
      <c r="B1045" s="199">
        <f>B1046+B1056+B1062</f>
        <v>164</v>
      </c>
      <c r="C1045" s="200"/>
    </row>
    <row r="1046" ht="17.25" customHeight="1" spans="1:3">
      <c r="A1046" s="198" t="s">
        <v>1292</v>
      </c>
      <c r="B1046" s="199">
        <f>SUM(B1047:B1055)</f>
        <v>164</v>
      </c>
      <c r="C1046" s="200"/>
    </row>
    <row r="1047" ht="17.25" customHeight="1" spans="1:3">
      <c r="A1047" s="198" t="s">
        <v>517</v>
      </c>
      <c r="B1047" s="201">
        <f>10+144+10</f>
        <v>164</v>
      </c>
      <c r="C1047" s="202"/>
    </row>
    <row r="1048" ht="17.25" customHeight="1" spans="1:3">
      <c r="A1048" s="203" t="s">
        <v>518</v>
      </c>
      <c r="B1048" s="204"/>
      <c r="C1048" s="205"/>
    </row>
    <row r="1049" ht="17.25" customHeight="1" spans="1:3">
      <c r="A1049" s="203" t="s">
        <v>519</v>
      </c>
      <c r="B1049" s="204"/>
      <c r="C1049" s="205"/>
    </row>
    <row r="1050" ht="17.25" customHeight="1" spans="1:3">
      <c r="A1050" s="203" t="s">
        <v>1293</v>
      </c>
      <c r="B1050" s="204"/>
      <c r="C1050" s="205"/>
    </row>
    <row r="1051" ht="17.25" customHeight="1" spans="1:3">
      <c r="A1051" s="203" t="s">
        <v>1294</v>
      </c>
      <c r="B1051" s="204"/>
      <c r="C1051" s="205"/>
    </row>
    <row r="1052" ht="17.25" customHeight="1" spans="1:3">
      <c r="A1052" s="203" t="s">
        <v>1295</v>
      </c>
      <c r="B1052" s="204"/>
      <c r="C1052" s="205"/>
    </row>
    <row r="1053" ht="17.25" customHeight="1" spans="1:3">
      <c r="A1053" s="203" t="s">
        <v>1296</v>
      </c>
      <c r="B1053" s="204"/>
      <c r="C1053" s="205"/>
    </row>
    <row r="1054" ht="17.25" customHeight="1" spans="1:3">
      <c r="A1054" s="203" t="s">
        <v>526</v>
      </c>
      <c r="B1054" s="204"/>
      <c r="C1054" s="205"/>
    </row>
    <row r="1055" ht="17.25" customHeight="1" spans="1:3">
      <c r="A1055" s="203" t="s">
        <v>1297</v>
      </c>
      <c r="B1055" s="204"/>
      <c r="C1055" s="205"/>
    </row>
    <row r="1056" ht="17.25" customHeight="1" spans="1:3">
      <c r="A1056" s="203" t="s">
        <v>1298</v>
      </c>
      <c r="B1056" s="206">
        <f>SUM(B1057:B1061)</f>
        <v>0</v>
      </c>
      <c r="C1056" s="207"/>
    </row>
    <row r="1057" ht="17.25" customHeight="1" spans="1:3">
      <c r="A1057" s="203" t="s">
        <v>517</v>
      </c>
      <c r="B1057" s="204"/>
      <c r="C1057" s="205"/>
    </row>
    <row r="1058" ht="17.25" customHeight="1" spans="1:3">
      <c r="A1058" s="203" t="s">
        <v>518</v>
      </c>
      <c r="B1058" s="204"/>
      <c r="C1058" s="205"/>
    </row>
    <row r="1059" ht="17.25" customHeight="1" spans="1:3">
      <c r="A1059" s="203" t="s">
        <v>519</v>
      </c>
      <c r="B1059" s="204"/>
      <c r="C1059" s="205"/>
    </row>
    <row r="1060" ht="17.25" customHeight="1" spans="1:3">
      <c r="A1060" s="203" t="s">
        <v>1299</v>
      </c>
      <c r="B1060" s="204"/>
      <c r="C1060" s="205"/>
    </row>
    <row r="1061" ht="17.25" customHeight="1" spans="1:3">
      <c r="A1061" s="203" t="s">
        <v>1300</v>
      </c>
      <c r="B1061" s="204"/>
      <c r="C1061" s="205"/>
    </row>
    <row r="1062" ht="17.25" customHeight="1" spans="1:3">
      <c r="A1062" s="203" t="s">
        <v>1301</v>
      </c>
      <c r="B1062" s="206">
        <f>SUM(B1063:B1064)</f>
        <v>0</v>
      </c>
      <c r="C1062" s="207"/>
    </row>
    <row r="1063" ht="17.25" customHeight="1" spans="1:3">
      <c r="A1063" s="203" t="s">
        <v>1302</v>
      </c>
      <c r="B1063" s="204"/>
      <c r="C1063" s="205"/>
    </row>
    <row r="1064" ht="17.25" customHeight="1" spans="1:3">
      <c r="A1064" s="203" t="s">
        <v>1303</v>
      </c>
      <c r="B1064" s="204"/>
      <c r="C1064" s="205"/>
    </row>
    <row r="1065" ht="17.25" customHeight="1" spans="1:3">
      <c r="A1065" s="203" t="s">
        <v>52</v>
      </c>
      <c r="B1065" s="206">
        <f>B1066+B1073+B1079</f>
        <v>0</v>
      </c>
      <c r="C1065" s="207"/>
    </row>
    <row r="1066" ht="17.25" customHeight="1" spans="1:3">
      <c r="A1066" s="203" t="s">
        <v>1304</v>
      </c>
      <c r="B1066" s="206">
        <f>SUM(B1067:B1072)</f>
        <v>0</v>
      </c>
      <c r="C1066" s="207"/>
    </row>
    <row r="1067" ht="17.25" customHeight="1" spans="1:3">
      <c r="A1067" s="203" t="s">
        <v>517</v>
      </c>
      <c r="B1067" s="204"/>
      <c r="C1067" s="205"/>
    </row>
    <row r="1068" ht="17.25" customHeight="1" spans="1:3">
      <c r="A1068" s="203" t="s">
        <v>518</v>
      </c>
      <c r="B1068" s="204"/>
      <c r="C1068" s="205"/>
    </row>
    <row r="1069" ht="17.25" customHeight="1" spans="1:3">
      <c r="A1069" s="203" t="s">
        <v>519</v>
      </c>
      <c r="B1069" s="204"/>
      <c r="C1069" s="205"/>
    </row>
    <row r="1070" ht="17.25" customHeight="1" spans="1:3">
      <c r="A1070" s="203" t="s">
        <v>1305</v>
      </c>
      <c r="B1070" s="204"/>
      <c r="C1070" s="205"/>
    </row>
    <row r="1071" ht="17.25" customHeight="1" spans="1:3">
      <c r="A1071" s="203" t="s">
        <v>526</v>
      </c>
      <c r="B1071" s="204"/>
      <c r="C1071" s="205"/>
    </row>
    <row r="1072" ht="17.25" customHeight="1" spans="1:3">
      <c r="A1072" s="203" t="s">
        <v>1306</v>
      </c>
      <c r="B1072" s="204"/>
      <c r="C1072" s="205"/>
    </row>
    <row r="1073" ht="17.25" customHeight="1" spans="1:3">
      <c r="A1073" s="203" t="s">
        <v>1307</v>
      </c>
      <c r="B1073" s="206">
        <f>SUM(B1074:B1078)</f>
        <v>0</v>
      </c>
      <c r="C1073" s="207"/>
    </row>
    <row r="1074" ht="17.25" customHeight="1" spans="1:3">
      <c r="A1074" s="203" t="s">
        <v>1308</v>
      </c>
      <c r="B1074" s="204"/>
      <c r="C1074" s="205"/>
    </row>
    <row r="1075" ht="17.25" customHeight="1" spans="1:3">
      <c r="A1075" s="203" t="s">
        <v>1309</v>
      </c>
      <c r="B1075" s="204"/>
      <c r="C1075" s="205"/>
    </row>
    <row r="1076" ht="17.25" customHeight="1" spans="1:3">
      <c r="A1076" s="203" t="s">
        <v>1310</v>
      </c>
      <c r="B1076" s="204"/>
      <c r="C1076" s="205"/>
    </row>
    <row r="1077" ht="17.25" customHeight="1" spans="1:3">
      <c r="A1077" s="203" t="s">
        <v>1311</v>
      </c>
      <c r="B1077" s="204"/>
      <c r="C1077" s="205"/>
    </row>
    <row r="1078" ht="17.25" customHeight="1" spans="1:3">
      <c r="A1078" s="203" t="s">
        <v>1312</v>
      </c>
      <c r="B1078" s="204"/>
      <c r="C1078" s="205"/>
    </row>
    <row r="1079" ht="17.25" customHeight="1" spans="1:3">
      <c r="A1079" s="203" t="s">
        <v>1313</v>
      </c>
      <c r="B1079" s="204"/>
      <c r="C1079" s="205"/>
    </row>
    <row r="1080" ht="17.25" customHeight="1" spans="1:3">
      <c r="A1080" s="203" t="s">
        <v>53</v>
      </c>
      <c r="B1080" s="206">
        <f>SUM(B1081:B1089)</f>
        <v>0</v>
      </c>
      <c r="C1080" s="207"/>
    </row>
    <row r="1081" ht="17.25" customHeight="1" spans="1:3">
      <c r="A1081" s="203" t="s">
        <v>169</v>
      </c>
      <c r="B1081" s="204"/>
      <c r="C1081" s="205"/>
    </row>
    <row r="1082" ht="17.25" customHeight="1" spans="1:3">
      <c r="A1082" s="203" t="s">
        <v>173</v>
      </c>
      <c r="B1082" s="204"/>
      <c r="C1082" s="205"/>
    </row>
    <row r="1083" ht="17.25" customHeight="1" spans="1:3">
      <c r="A1083" s="203" t="s">
        <v>1314</v>
      </c>
      <c r="B1083" s="204"/>
      <c r="C1083" s="205"/>
    </row>
    <row r="1084" ht="17.25" customHeight="1" spans="1:3">
      <c r="A1084" s="203" t="s">
        <v>1315</v>
      </c>
      <c r="B1084" s="204"/>
      <c r="C1084" s="205"/>
    </row>
    <row r="1085" ht="17.25" customHeight="1" spans="1:3">
      <c r="A1085" s="203" t="s">
        <v>178</v>
      </c>
      <c r="B1085" s="204"/>
      <c r="C1085" s="205"/>
    </row>
    <row r="1086" ht="17.25" customHeight="1" spans="1:3">
      <c r="A1086" s="203" t="s">
        <v>1316</v>
      </c>
      <c r="B1086" s="204"/>
      <c r="C1086" s="205"/>
    </row>
    <row r="1087" ht="17.25" customHeight="1" spans="1:3">
      <c r="A1087" s="203" t="s">
        <v>181</v>
      </c>
      <c r="B1087" s="204"/>
      <c r="C1087" s="205"/>
    </row>
    <row r="1088" ht="17.25" customHeight="1" spans="1:3">
      <c r="A1088" s="203" t="s">
        <v>186</v>
      </c>
      <c r="B1088" s="204"/>
      <c r="C1088" s="205"/>
    </row>
    <row r="1089" ht="17.25" customHeight="1" spans="1:3">
      <c r="A1089" s="203" t="s">
        <v>189</v>
      </c>
      <c r="B1089" s="204"/>
      <c r="C1089" s="205"/>
    </row>
    <row r="1090" ht="17.25" customHeight="1" spans="1:3">
      <c r="A1090" s="198" t="s">
        <v>54</v>
      </c>
      <c r="B1090" s="199">
        <f>B1091+B1118+B1133</f>
        <v>1686</v>
      </c>
      <c r="C1090" s="200"/>
    </row>
    <row r="1091" ht="17.25" customHeight="1" spans="1:3">
      <c r="A1091" s="198" t="s">
        <v>1317</v>
      </c>
      <c r="B1091" s="199">
        <f>SUM(B1092:B1117)</f>
        <v>1679</v>
      </c>
      <c r="C1091" s="200"/>
    </row>
    <row r="1092" ht="17.25" customHeight="1" spans="1:3">
      <c r="A1092" s="198" t="s">
        <v>517</v>
      </c>
      <c r="B1092" s="201">
        <f>85+924+85</f>
        <v>1094</v>
      </c>
      <c r="C1092" s="202"/>
    </row>
    <row r="1093" ht="17.25" customHeight="1" spans="1:3">
      <c r="A1093" s="203" t="s">
        <v>518</v>
      </c>
      <c r="B1093" s="204"/>
      <c r="C1093" s="205"/>
    </row>
    <row r="1094" ht="17.25" customHeight="1" spans="1:3">
      <c r="A1094" s="203" t="s">
        <v>519</v>
      </c>
      <c r="B1094" s="204"/>
      <c r="C1094" s="205"/>
    </row>
    <row r="1095" ht="17.25" customHeight="1" spans="1:3">
      <c r="A1095" s="203" t="s">
        <v>1318</v>
      </c>
      <c r="B1095" s="204"/>
      <c r="C1095" s="205"/>
    </row>
    <row r="1096" ht="17.25" customHeight="1" spans="1:3">
      <c r="A1096" s="203" t="s">
        <v>1319</v>
      </c>
      <c r="B1096" s="204"/>
      <c r="C1096" s="205"/>
    </row>
    <row r="1097" ht="17.25" customHeight="1" spans="1:3">
      <c r="A1097" s="203" t="s">
        <v>1320</v>
      </c>
      <c r="B1097" s="204"/>
      <c r="C1097" s="205"/>
    </row>
    <row r="1098" ht="17.25" customHeight="1" spans="1:3">
      <c r="A1098" s="203" t="s">
        <v>1321</v>
      </c>
      <c r="B1098" s="204"/>
      <c r="C1098" s="205"/>
    </row>
    <row r="1099" ht="17.25" customHeight="1" spans="1:3">
      <c r="A1099" s="203" t="s">
        <v>1322</v>
      </c>
      <c r="B1099" s="204"/>
      <c r="C1099" s="205"/>
    </row>
    <row r="1100" ht="17.25" customHeight="1" spans="1:3">
      <c r="A1100" s="203" t="s">
        <v>1323</v>
      </c>
      <c r="B1100" s="204"/>
      <c r="C1100" s="205"/>
    </row>
    <row r="1101" ht="17.25" customHeight="1" spans="1:3">
      <c r="A1101" s="203" t="s">
        <v>1324</v>
      </c>
      <c r="B1101" s="204"/>
      <c r="C1101" s="205"/>
    </row>
    <row r="1102" ht="17.25" customHeight="1" spans="1:3">
      <c r="A1102" s="203" t="s">
        <v>1325</v>
      </c>
      <c r="B1102" s="204"/>
      <c r="C1102" s="205"/>
    </row>
    <row r="1103" ht="17.25" customHeight="1" spans="1:3">
      <c r="A1103" s="203" t="s">
        <v>1326</v>
      </c>
      <c r="B1103" s="204"/>
      <c r="C1103" s="205"/>
    </row>
    <row r="1104" ht="17.25" customHeight="1" spans="1:3">
      <c r="A1104" s="203" t="s">
        <v>1327</v>
      </c>
      <c r="B1104" s="204"/>
      <c r="C1104" s="205"/>
    </row>
    <row r="1105" ht="17.25" customHeight="1" spans="1:3">
      <c r="A1105" s="203" t="s">
        <v>1328</v>
      </c>
      <c r="B1105" s="204"/>
      <c r="C1105" s="205"/>
    </row>
    <row r="1106" ht="17.25" customHeight="1" spans="1:3">
      <c r="A1106" s="203" t="s">
        <v>1329</v>
      </c>
      <c r="B1106" s="204"/>
      <c r="C1106" s="205"/>
    </row>
    <row r="1107" ht="17.25" customHeight="1" spans="1:3">
      <c r="A1107" s="203" t="s">
        <v>1330</v>
      </c>
      <c r="B1107" s="204"/>
      <c r="C1107" s="205"/>
    </row>
    <row r="1108" ht="17.25" customHeight="1" spans="1:3">
      <c r="A1108" s="203" t="s">
        <v>1331</v>
      </c>
      <c r="B1108" s="204"/>
      <c r="C1108" s="205"/>
    </row>
    <row r="1109" ht="17.25" customHeight="1" spans="1:3">
      <c r="A1109" s="203" t="s">
        <v>1332</v>
      </c>
      <c r="B1109" s="204"/>
      <c r="C1109" s="205"/>
    </row>
    <row r="1110" ht="17.25" customHeight="1" spans="1:3">
      <c r="A1110" s="203" t="s">
        <v>1333</v>
      </c>
      <c r="B1110" s="204"/>
      <c r="C1110" s="205"/>
    </row>
    <row r="1111" ht="17.25" customHeight="1" spans="1:3">
      <c r="A1111" s="203" t="s">
        <v>1334</v>
      </c>
      <c r="B1111" s="204"/>
      <c r="C1111" s="205"/>
    </row>
    <row r="1112" ht="17.25" customHeight="1" spans="1:3">
      <c r="A1112" s="203" t="s">
        <v>1335</v>
      </c>
      <c r="B1112" s="204"/>
      <c r="C1112" s="205"/>
    </row>
    <row r="1113" ht="17.25" customHeight="1" spans="1:3">
      <c r="A1113" s="203" t="s">
        <v>1336</v>
      </c>
      <c r="B1113" s="204"/>
      <c r="C1113" s="205"/>
    </row>
    <row r="1114" ht="17.25" customHeight="1" spans="1:3">
      <c r="A1114" s="203" t="s">
        <v>1337</v>
      </c>
      <c r="B1114" s="204"/>
      <c r="C1114" s="205"/>
    </row>
    <row r="1115" ht="17.25" customHeight="1" spans="1:3">
      <c r="A1115" s="203" t="s">
        <v>1338</v>
      </c>
      <c r="B1115" s="204"/>
      <c r="C1115" s="205"/>
    </row>
    <row r="1116" ht="17.25" customHeight="1" spans="1:3">
      <c r="A1116" s="198" t="s">
        <v>526</v>
      </c>
      <c r="B1116" s="201">
        <f>15+555+15</f>
        <v>585</v>
      </c>
      <c r="C1116" s="202"/>
    </row>
    <row r="1117" ht="17.25" customHeight="1" spans="1:3">
      <c r="A1117" s="203" t="s">
        <v>1339</v>
      </c>
      <c r="B1117" s="204"/>
      <c r="C1117" s="205"/>
    </row>
    <row r="1118" ht="17.25" customHeight="1" spans="1:3">
      <c r="A1118" s="198" t="s">
        <v>1340</v>
      </c>
      <c r="B1118" s="199">
        <f>SUM(B1119:B1132)</f>
        <v>7</v>
      </c>
      <c r="C1118" s="200"/>
    </row>
    <row r="1119" ht="17.25" customHeight="1" spans="1:3">
      <c r="A1119" s="203" t="s">
        <v>517</v>
      </c>
      <c r="B1119" s="204"/>
      <c r="C1119" s="205"/>
    </row>
    <row r="1120" ht="17.25" customHeight="1" spans="1:3">
      <c r="A1120" s="203" t="s">
        <v>518</v>
      </c>
      <c r="B1120" s="204"/>
      <c r="C1120" s="205"/>
    </row>
    <row r="1121" ht="17.25" customHeight="1" spans="1:3">
      <c r="A1121" s="203" t="s">
        <v>519</v>
      </c>
      <c r="B1121" s="204"/>
      <c r="C1121" s="205"/>
    </row>
    <row r="1122" ht="17.25" customHeight="1" spans="1:3">
      <c r="A1122" s="198" t="s">
        <v>1341</v>
      </c>
      <c r="B1122" s="201">
        <v>7</v>
      </c>
      <c r="C1122" s="202"/>
    </row>
    <row r="1123" ht="17.25" customHeight="1" spans="1:3">
      <c r="A1123" s="203" t="s">
        <v>1342</v>
      </c>
      <c r="B1123" s="204"/>
      <c r="C1123" s="205"/>
    </row>
    <row r="1124" ht="17.25" customHeight="1" spans="1:3">
      <c r="A1124" s="203" t="s">
        <v>1343</v>
      </c>
      <c r="B1124" s="204"/>
      <c r="C1124" s="205"/>
    </row>
    <row r="1125" ht="17.25" customHeight="1" spans="1:3">
      <c r="A1125" s="203" t="s">
        <v>1344</v>
      </c>
      <c r="B1125" s="204"/>
      <c r="C1125" s="205"/>
    </row>
    <row r="1126" ht="17.25" customHeight="1" spans="1:3">
      <c r="A1126" s="203" t="s">
        <v>1345</v>
      </c>
      <c r="B1126" s="204"/>
      <c r="C1126" s="205"/>
    </row>
    <row r="1127" ht="17.25" customHeight="1" spans="1:3">
      <c r="A1127" s="203" t="s">
        <v>1346</v>
      </c>
      <c r="B1127" s="204"/>
      <c r="C1127" s="205"/>
    </row>
    <row r="1128" ht="17.25" customHeight="1" spans="1:3">
      <c r="A1128" s="203" t="s">
        <v>1347</v>
      </c>
      <c r="B1128" s="204"/>
      <c r="C1128" s="205"/>
    </row>
    <row r="1129" ht="17.25" customHeight="1" spans="1:3">
      <c r="A1129" s="203" t="s">
        <v>1348</v>
      </c>
      <c r="B1129" s="204"/>
      <c r="C1129" s="205"/>
    </row>
    <row r="1130" ht="17.25" customHeight="1" spans="1:3">
      <c r="A1130" s="203" t="s">
        <v>1349</v>
      </c>
      <c r="B1130" s="204"/>
      <c r="C1130" s="205"/>
    </row>
    <row r="1131" ht="17.25" customHeight="1" spans="1:3">
      <c r="A1131" s="203" t="s">
        <v>1350</v>
      </c>
      <c r="B1131" s="204"/>
      <c r="C1131" s="205"/>
    </row>
    <row r="1132" ht="17.25" customHeight="1" spans="1:3">
      <c r="A1132" s="203" t="s">
        <v>1351</v>
      </c>
      <c r="B1132" s="204"/>
      <c r="C1132" s="205"/>
    </row>
    <row r="1133" ht="17.25" customHeight="1" spans="1:3">
      <c r="A1133" s="203" t="s">
        <v>1352</v>
      </c>
      <c r="B1133" s="204"/>
      <c r="C1133" s="205"/>
    </row>
    <row r="1134" ht="17.25" customHeight="1" spans="1:3">
      <c r="A1134" s="198" t="s">
        <v>55</v>
      </c>
      <c r="B1134" s="199">
        <f>B1135+B1146+B1150</f>
        <v>21093</v>
      </c>
      <c r="C1134" s="200"/>
    </row>
    <row r="1135" ht="17.25" customHeight="1" spans="1:3">
      <c r="A1135" s="198" t="s">
        <v>1353</v>
      </c>
      <c r="B1135" s="199">
        <f>SUM(B1136:B1145)</f>
        <v>9323</v>
      </c>
      <c r="C1135" s="200"/>
    </row>
    <row r="1136" ht="17.25" customHeight="1" spans="1:3">
      <c r="A1136" s="203" t="s">
        <v>1354</v>
      </c>
      <c r="B1136" s="204"/>
      <c r="C1136" s="205"/>
    </row>
    <row r="1137" ht="17.25" customHeight="1" spans="1:3">
      <c r="A1137" s="203" t="s">
        <v>1355</v>
      </c>
      <c r="B1137" s="204"/>
      <c r="C1137" s="205"/>
    </row>
    <row r="1138" ht="17.25" customHeight="1" spans="1:3">
      <c r="A1138" s="203" t="s">
        <v>1356</v>
      </c>
      <c r="B1138" s="204"/>
      <c r="C1138" s="205"/>
    </row>
    <row r="1139" ht="17.25" customHeight="1" spans="1:3">
      <c r="A1139" s="203" t="s">
        <v>1357</v>
      </c>
      <c r="B1139" s="204"/>
      <c r="C1139" s="205"/>
    </row>
    <row r="1140" ht="17.25" customHeight="1" spans="1:3">
      <c r="A1140" s="198" t="s">
        <v>1358</v>
      </c>
      <c r="B1140" s="201">
        <v>1632</v>
      </c>
      <c r="C1140" s="202"/>
    </row>
    <row r="1141" ht="17.25" customHeight="1" spans="1:3">
      <c r="A1141" s="203" t="s">
        <v>1359</v>
      </c>
      <c r="B1141" s="204"/>
      <c r="C1141" s="205"/>
    </row>
    <row r="1142" ht="17.25" customHeight="1" spans="1:3">
      <c r="A1142" s="203" t="s">
        <v>1360</v>
      </c>
      <c r="B1142" s="204"/>
      <c r="C1142" s="205"/>
    </row>
    <row r="1143" ht="17.25" customHeight="1" spans="1:3">
      <c r="A1143" s="198" t="s">
        <v>1361</v>
      </c>
      <c r="B1143" s="201">
        <v>5242</v>
      </c>
      <c r="C1143" s="202"/>
    </row>
    <row r="1144" ht="17.25" customHeight="1" spans="1:3">
      <c r="A1144" s="203" t="s">
        <v>1362</v>
      </c>
      <c r="B1144" s="204"/>
      <c r="C1144" s="205"/>
    </row>
    <row r="1145" ht="17.25" customHeight="1" spans="1:3">
      <c r="A1145" s="198" t="s">
        <v>1363</v>
      </c>
      <c r="B1145" s="201">
        <f>2668-219</f>
        <v>2449</v>
      </c>
      <c r="C1145" s="202"/>
    </row>
    <row r="1146" ht="17.25" customHeight="1" spans="1:3">
      <c r="A1146" s="198" t="s">
        <v>1364</v>
      </c>
      <c r="B1146" s="199">
        <f>SUM(B1147:B1149)</f>
        <v>11770</v>
      </c>
      <c r="C1146" s="200"/>
    </row>
    <row r="1147" ht="17.25" customHeight="1" spans="1:3">
      <c r="A1147" s="198" t="s">
        <v>1365</v>
      </c>
      <c r="B1147" s="201">
        <v>11770</v>
      </c>
      <c r="C1147" s="202"/>
    </row>
    <row r="1148" ht="17.25" customHeight="1" spans="1:3">
      <c r="A1148" s="203" t="s">
        <v>1366</v>
      </c>
      <c r="B1148" s="204"/>
      <c r="C1148" s="205"/>
    </row>
    <row r="1149" ht="17.25" customHeight="1" spans="1:3">
      <c r="A1149" s="203" t="s">
        <v>1367</v>
      </c>
      <c r="B1149" s="204"/>
      <c r="C1149" s="205"/>
    </row>
    <row r="1150" ht="17.25" customHeight="1" spans="1:3">
      <c r="A1150" s="203" t="s">
        <v>1368</v>
      </c>
      <c r="B1150" s="206">
        <f>SUM(B1151:B1153)</f>
        <v>0</v>
      </c>
      <c r="C1150" s="207"/>
    </row>
    <row r="1151" ht="17.25" customHeight="1" spans="1:3">
      <c r="A1151" s="203" t="s">
        <v>1369</v>
      </c>
      <c r="B1151" s="204"/>
      <c r="C1151" s="205"/>
    </row>
    <row r="1152" ht="17.25" customHeight="1" spans="1:3">
      <c r="A1152" s="203" t="s">
        <v>1370</v>
      </c>
      <c r="B1152" s="204"/>
      <c r="C1152" s="205"/>
    </row>
    <row r="1153" ht="17.25" customHeight="1" spans="1:3">
      <c r="A1153" s="203" t="s">
        <v>1371</v>
      </c>
      <c r="B1153" s="204"/>
      <c r="C1153" s="205"/>
    </row>
    <row r="1154" ht="17.25" customHeight="1" spans="1:3">
      <c r="A1154" s="198" t="s">
        <v>56</v>
      </c>
      <c r="B1154" s="199">
        <f>B1155+B1170+B1184+B1189+B1195</f>
        <v>1189</v>
      </c>
      <c r="C1154" s="200"/>
    </row>
    <row r="1155" ht="17.25" customHeight="1" spans="1:3">
      <c r="A1155" s="198" t="s">
        <v>1372</v>
      </c>
      <c r="B1155" s="199">
        <f>SUM(B1156:B1169)</f>
        <v>1189</v>
      </c>
      <c r="C1155" s="200"/>
    </row>
    <row r="1156" ht="17.25" customHeight="1" spans="1:3">
      <c r="A1156" s="198" t="s">
        <v>517</v>
      </c>
      <c r="B1156" s="201">
        <f>13+163+13</f>
        <v>189</v>
      </c>
      <c r="C1156" s="202"/>
    </row>
    <row r="1157" ht="17.25" customHeight="1" spans="1:3">
      <c r="A1157" s="203" t="s">
        <v>518</v>
      </c>
      <c r="B1157" s="204"/>
      <c r="C1157" s="205"/>
    </row>
    <row r="1158" ht="17.25" customHeight="1" spans="1:3">
      <c r="A1158" s="203" t="s">
        <v>519</v>
      </c>
      <c r="B1158" s="204"/>
      <c r="C1158" s="205"/>
    </row>
    <row r="1159" ht="17.25" customHeight="1" spans="1:3">
      <c r="A1159" s="203" t="s">
        <v>1373</v>
      </c>
      <c r="B1159" s="204"/>
      <c r="C1159" s="205"/>
    </row>
    <row r="1160" ht="17.25" customHeight="1" spans="1:3">
      <c r="A1160" s="203" t="s">
        <v>1374</v>
      </c>
      <c r="B1160" s="204"/>
      <c r="C1160" s="205"/>
    </row>
    <row r="1161" ht="17.25" customHeight="1" spans="1:3">
      <c r="A1161" s="203" t="s">
        <v>1375</v>
      </c>
      <c r="B1161" s="204"/>
      <c r="C1161" s="205"/>
    </row>
    <row r="1162" ht="17.25" customHeight="1" spans="1:3">
      <c r="A1162" s="203" t="s">
        <v>1376</v>
      </c>
      <c r="B1162" s="204"/>
      <c r="C1162" s="205"/>
    </row>
    <row r="1163" ht="17.25" customHeight="1" spans="1:3">
      <c r="A1163" s="203" t="s">
        <v>1377</v>
      </c>
      <c r="B1163" s="204"/>
      <c r="C1163" s="205"/>
    </row>
    <row r="1164" ht="17.25" customHeight="1" spans="1:3">
      <c r="A1164" s="203" t="s">
        <v>1378</v>
      </c>
      <c r="B1164" s="204"/>
      <c r="C1164" s="205"/>
    </row>
    <row r="1165" ht="17.25" customHeight="1" spans="1:3">
      <c r="A1165" s="203" t="s">
        <v>1379</v>
      </c>
      <c r="B1165" s="204"/>
      <c r="C1165" s="205"/>
    </row>
    <row r="1166" ht="17.25" customHeight="1" spans="1:3">
      <c r="A1166" s="203" t="s">
        <v>1380</v>
      </c>
      <c r="B1166" s="204"/>
      <c r="C1166" s="205"/>
    </row>
    <row r="1167" ht="17.25" customHeight="1" spans="1:3">
      <c r="A1167" s="203" t="s">
        <v>1381</v>
      </c>
      <c r="B1167" s="204"/>
      <c r="C1167" s="205"/>
    </row>
    <row r="1168" ht="17.25" customHeight="1" spans="1:3">
      <c r="A1168" s="203" t="s">
        <v>526</v>
      </c>
      <c r="B1168" s="204"/>
      <c r="C1168" s="205"/>
    </row>
    <row r="1169" ht="17.25" customHeight="1" spans="1:3">
      <c r="A1169" s="198" t="s">
        <v>1382</v>
      </c>
      <c r="B1169" s="201">
        <v>1000</v>
      </c>
      <c r="C1169" s="202"/>
    </row>
    <row r="1170" ht="17.25" customHeight="1" spans="1:3">
      <c r="A1170" s="203" t="s">
        <v>1383</v>
      </c>
      <c r="B1170" s="206">
        <f>SUM(B1171:B1183)</f>
        <v>0</v>
      </c>
      <c r="C1170" s="207"/>
    </row>
    <row r="1171" ht="17.25" customHeight="1" spans="1:3">
      <c r="A1171" s="203" t="s">
        <v>517</v>
      </c>
      <c r="B1171" s="204"/>
      <c r="C1171" s="205"/>
    </row>
    <row r="1172" ht="17.25" customHeight="1" spans="1:3">
      <c r="A1172" s="203" t="s">
        <v>518</v>
      </c>
      <c r="B1172" s="204"/>
      <c r="C1172" s="205"/>
    </row>
    <row r="1173" ht="17.25" customHeight="1" spans="1:3">
      <c r="A1173" s="203" t="s">
        <v>519</v>
      </c>
      <c r="B1173" s="204"/>
      <c r="C1173" s="205"/>
    </row>
    <row r="1174" ht="17.25" customHeight="1" spans="1:3">
      <c r="A1174" s="203" t="s">
        <v>1384</v>
      </c>
      <c r="B1174" s="204"/>
      <c r="C1174" s="205"/>
    </row>
    <row r="1175" ht="17.25" customHeight="1" spans="1:3">
      <c r="A1175" s="203" t="s">
        <v>1385</v>
      </c>
      <c r="B1175" s="204"/>
      <c r="C1175" s="205"/>
    </row>
    <row r="1176" ht="17.25" customHeight="1" spans="1:3">
      <c r="A1176" s="203" t="s">
        <v>1386</v>
      </c>
      <c r="B1176" s="204"/>
      <c r="C1176" s="205"/>
    </row>
    <row r="1177" ht="17.25" customHeight="1" spans="1:3">
      <c r="A1177" s="203" t="s">
        <v>1387</v>
      </c>
      <c r="B1177" s="204"/>
      <c r="C1177" s="205"/>
    </row>
    <row r="1178" ht="17.25" customHeight="1" spans="1:3">
      <c r="A1178" s="203" t="s">
        <v>1388</v>
      </c>
      <c r="B1178" s="204"/>
      <c r="C1178" s="205"/>
    </row>
    <row r="1179" ht="17.25" customHeight="1" spans="1:3">
      <c r="A1179" s="203" t="s">
        <v>1389</v>
      </c>
      <c r="B1179" s="204"/>
      <c r="C1179" s="205"/>
    </row>
    <row r="1180" ht="17.25" customHeight="1" spans="1:3">
      <c r="A1180" s="203" t="s">
        <v>1390</v>
      </c>
      <c r="B1180" s="204"/>
      <c r="C1180" s="205"/>
    </row>
    <row r="1181" ht="17.25" customHeight="1" spans="1:3">
      <c r="A1181" s="203" t="s">
        <v>1391</v>
      </c>
      <c r="B1181" s="204"/>
      <c r="C1181" s="205"/>
    </row>
    <row r="1182" ht="17.25" customHeight="1" spans="1:3">
      <c r="A1182" s="203" t="s">
        <v>526</v>
      </c>
      <c r="B1182" s="204"/>
      <c r="C1182" s="205"/>
    </row>
    <row r="1183" ht="17.25" customHeight="1" spans="1:3">
      <c r="A1183" s="203" t="s">
        <v>1392</v>
      </c>
      <c r="B1183" s="204"/>
      <c r="C1183" s="205"/>
    </row>
    <row r="1184" ht="17.25" customHeight="1" spans="1:3">
      <c r="A1184" s="203" t="s">
        <v>1393</v>
      </c>
      <c r="B1184" s="206">
        <f>SUM(B1185:B1188)</f>
        <v>0</v>
      </c>
      <c r="C1184" s="207"/>
    </row>
    <row r="1185" ht="17.25" customHeight="1" spans="1:3">
      <c r="A1185" s="203" t="s">
        <v>1394</v>
      </c>
      <c r="B1185" s="204"/>
      <c r="C1185" s="205"/>
    </row>
    <row r="1186" ht="17.25" customHeight="1" spans="1:3">
      <c r="A1186" s="203" t="s">
        <v>1395</v>
      </c>
      <c r="B1186" s="204"/>
      <c r="C1186" s="205"/>
    </row>
    <row r="1187" ht="17.25" customHeight="1" spans="1:3">
      <c r="A1187" s="203" t="s">
        <v>1396</v>
      </c>
      <c r="B1187" s="204"/>
      <c r="C1187" s="205"/>
    </row>
    <row r="1188" ht="17.25" customHeight="1" spans="1:3">
      <c r="A1188" s="203" t="s">
        <v>1397</v>
      </c>
      <c r="B1188" s="204"/>
      <c r="C1188" s="205"/>
    </row>
    <row r="1189" ht="17.25" customHeight="1" spans="1:3">
      <c r="A1189" s="203" t="s">
        <v>1398</v>
      </c>
      <c r="B1189" s="206">
        <f>SUM(B1190:B1194)</f>
        <v>0</v>
      </c>
      <c r="C1189" s="207"/>
    </row>
    <row r="1190" ht="17.25" customHeight="1" spans="1:3">
      <c r="A1190" s="203" t="s">
        <v>1399</v>
      </c>
      <c r="B1190" s="204"/>
      <c r="C1190" s="205"/>
    </row>
    <row r="1191" ht="17.25" customHeight="1" spans="1:3">
      <c r="A1191" s="203" t="s">
        <v>1400</v>
      </c>
      <c r="B1191" s="204"/>
      <c r="C1191" s="205"/>
    </row>
    <row r="1192" ht="17.25" customHeight="1" spans="1:3">
      <c r="A1192" s="203" t="s">
        <v>1401</v>
      </c>
      <c r="B1192" s="204"/>
      <c r="C1192" s="205"/>
    </row>
    <row r="1193" ht="17.25" customHeight="1" spans="1:3">
      <c r="A1193" s="203" t="s">
        <v>1402</v>
      </c>
      <c r="B1193" s="204"/>
      <c r="C1193" s="205"/>
    </row>
    <row r="1194" ht="17.25" customHeight="1" spans="1:3">
      <c r="A1194" s="203" t="s">
        <v>1403</v>
      </c>
      <c r="B1194" s="204"/>
      <c r="C1194" s="205"/>
    </row>
    <row r="1195" ht="17.25" customHeight="1" spans="1:3">
      <c r="A1195" s="203" t="s">
        <v>1404</v>
      </c>
      <c r="B1195" s="206">
        <f>SUM(B1196:B1206)</f>
        <v>0</v>
      </c>
      <c r="C1195" s="207"/>
    </row>
    <row r="1196" ht="17.25" customHeight="1" spans="1:3">
      <c r="A1196" s="203" t="s">
        <v>1405</v>
      </c>
      <c r="B1196" s="204"/>
      <c r="C1196" s="205"/>
    </row>
    <row r="1197" ht="17.25" customHeight="1" spans="1:3">
      <c r="A1197" s="203" t="s">
        <v>1406</v>
      </c>
      <c r="B1197" s="204"/>
      <c r="C1197" s="205"/>
    </row>
    <row r="1198" ht="17.25" customHeight="1" spans="1:3">
      <c r="A1198" s="203" t="s">
        <v>1407</v>
      </c>
      <c r="B1198" s="204"/>
      <c r="C1198" s="205"/>
    </row>
    <row r="1199" ht="17.25" customHeight="1" spans="1:3">
      <c r="A1199" s="203" t="s">
        <v>1408</v>
      </c>
      <c r="B1199" s="204"/>
      <c r="C1199" s="205"/>
    </row>
    <row r="1200" ht="17.25" customHeight="1" spans="1:3">
      <c r="A1200" s="203" t="s">
        <v>1409</v>
      </c>
      <c r="B1200" s="204"/>
      <c r="C1200" s="205"/>
    </row>
    <row r="1201" ht="17.25" customHeight="1" spans="1:3">
      <c r="A1201" s="203" t="s">
        <v>1410</v>
      </c>
      <c r="B1201" s="204"/>
      <c r="C1201" s="205"/>
    </row>
    <row r="1202" ht="17.25" customHeight="1" spans="1:3">
      <c r="A1202" s="203" t="s">
        <v>1411</v>
      </c>
      <c r="B1202" s="204"/>
      <c r="C1202" s="205"/>
    </row>
    <row r="1203" ht="17.25" customHeight="1" spans="1:3">
      <c r="A1203" s="203" t="s">
        <v>1412</v>
      </c>
      <c r="B1203" s="204"/>
      <c r="C1203" s="205"/>
    </row>
    <row r="1204" ht="17.25" customHeight="1" spans="1:3">
      <c r="A1204" s="203" t="s">
        <v>1413</v>
      </c>
      <c r="B1204" s="204"/>
      <c r="C1204" s="205"/>
    </row>
    <row r="1205" ht="17.25" customHeight="1" spans="1:3">
      <c r="A1205" s="203" t="s">
        <v>1414</v>
      </c>
      <c r="B1205" s="204"/>
      <c r="C1205" s="205"/>
    </row>
    <row r="1206" ht="17.25" customHeight="1" spans="1:3">
      <c r="A1206" s="203" t="s">
        <v>1415</v>
      </c>
      <c r="B1206" s="204"/>
      <c r="C1206" s="205"/>
    </row>
    <row r="1207" ht="17.25" customHeight="1" spans="1:3">
      <c r="A1207" s="198" t="s">
        <v>57</v>
      </c>
      <c r="B1207" s="199">
        <f>B1208+B1220+B1226+B1232+B1240+B1253+B1257+B1263</f>
        <v>613</v>
      </c>
      <c r="C1207" s="200"/>
    </row>
    <row r="1208" ht="17.25" customHeight="1" spans="1:3">
      <c r="A1208" s="198" t="s">
        <v>1416</v>
      </c>
      <c r="B1208" s="199">
        <f>SUM(B1209:B1219)</f>
        <v>613</v>
      </c>
      <c r="C1208" s="200"/>
    </row>
    <row r="1209" ht="17.25" customHeight="1" spans="1:3">
      <c r="A1209" s="198" t="s">
        <v>517</v>
      </c>
      <c r="B1209" s="201">
        <f>28+517+28</f>
        <v>573</v>
      </c>
      <c r="C1209" s="202"/>
    </row>
    <row r="1210" ht="17.25" customHeight="1" spans="1:3">
      <c r="A1210" s="203" t="s">
        <v>518</v>
      </c>
      <c r="B1210" s="204"/>
      <c r="C1210" s="205"/>
    </row>
    <row r="1211" ht="17.25" customHeight="1" spans="1:3">
      <c r="A1211" s="203" t="s">
        <v>519</v>
      </c>
      <c r="B1211" s="204"/>
      <c r="C1211" s="205"/>
    </row>
    <row r="1212" ht="17.25" customHeight="1" spans="1:3">
      <c r="A1212" s="203" t="s">
        <v>1417</v>
      </c>
      <c r="B1212" s="204"/>
      <c r="C1212" s="205"/>
    </row>
    <row r="1213" ht="17.25" customHeight="1" spans="1:3">
      <c r="A1213" s="203" t="s">
        <v>1418</v>
      </c>
      <c r="B1213" s="204"/>
      <c r="C1213" s="205"/>
    </row>
    <row r="1214" ht="17.25" customHeight="1" spans="1:3">
      <c r="A1214" s="198" t="s">
        <v>1419</v>
      </c>
      <c r="B1214" s="201">
        <v>2</v>
      </c>
      <c r="C1214" s="202"/>
    </row>
    <row r="1215" ht="17.25" customHeight="1" spans="1:3">
      <c r="A1215" s="203" t="s">
        <v>1420</v>
      </c>
      <c r="B1215" s="204"/>
      <c r="C1215" s="205"/>
    </row>
    <row r="1216" ht="17.25" customHeight="1" spans="1:3">
      <c r="A1216" s="203" t="s">
        <v>1421</v>
      </c>
      <c r="B1216" s="204"/>
      <c r="C1216" s="205"/>
    </row>
    <row r="1217" ht="17.25" customHeight="1" spans="1:3">
      <c r="A1217" s="198" t="s">
        <v>1422</v>
      </c>
      <c r="B1217" s="201">
        <v>33</v>
      </c>
      <c r="C1217" s="202"/>
    </row>
    <row r="1218" ht="17.25" customHeight="1" spans="1:3">
      <c r="A1218" s="198" t="s">
        <v>526</v>
      </c>
      <c r="B1218" s="201">
        <v>5</v>
      </c>
      <c r="C1218" s="202"/>
    </row>
    <row r="1219" ht="17.25" customHeight="1" spans="1:3">
      <c r="A1219" s="203" t="s">
        <v>1423</v>
      </c>
      <c r="B1219" s="204"/>
      <c r="C1219" s="205"/>
    </row>
    <row r="1220" ht="17.25" customHeight="1" spans="1:3">
      <c r="A1220" s="203" t="s">
        <v>1424</v>
      </c>
      <c r="B1220" s="206">
        <f>SUM(B1221:B1225)</f>
        <v>0</v>
      </c>
      <c r="C1220" s="207"/>
    </row>
    <row r="1221" ht="17.25" customHeight="1" spans="1:3">
      <c r="A1221" s="203" t="s">
        <v>517</v>
      </c>
      <c r="B1221" s="204"/>
      <c r="C1221" s="205"/>
    </row>
    <row r="1222" ht="17.25" customHeight="1" spans="1:3">
      <c r="A1222" s="203" t="s">
        <v>842</v>
      </c>
      <c r="B1222" s="204"/>
      <c r="C1222" s="205"/>
    </row>
    <row r="1223" ht="17.25" customHeight="1" spans="1:3">
      <c r="A1223" s="203" t="s">
        <v>519</v>
      </c>
      <c r="B1223" s="204"/>
      <c r="C1223" s="205"/>
    </row>
    <row r="1224" ht="17.25" customHeight="1" spans="1:3">
      <c r="A1224" s="203" t="s">
        <v>1425</v>
      </c>
      <c r="B1224" s="204"/>
      <c r="C1224" s="205"/>
    </row>
    <row r="1225" ht="17.25" customHeight="1" spans="1:3">
      <c r="A1225" s="203" t="s">
        <v>1426</v>
      </c>
      <c r="B1225" s="204"/>
      <c r="C1225" s="205"/>
    </row>
    <row r="1226" ht="17.25" customHeight="1" spans="1:3">
      <c r="A1226" s="203" t="s">
        <v>1427</v>
      </c>
      <c r="B1226" s="206">
        <f>SUM(B1227:B1231)</f>
        <v>0</v>
      </c>
      <c r="C1226" s="207"/>
    </row>
    <row r="1227" ht="17.25" customHeight="1" spans="1:3">
      <c r="A1227" s="203" t="s">
        <v>517</v>
      </c>
      <c r="B1227" s="204"/>
      <c r="C1227" s="205"/>
    </row>
    <row r="1228" ht="17.25" customHeight="1" spans="1:3">
      <c r="A1228" s="203" t="s">
        <v>518</v>
      </c>
      <c r="B1228" s="204"/>
      <c r="C1228" s="205"/>
    </row>
    <row r="1229" ht="17.25" customHeight="1" spans="1:3">
      <c r="A1229" s="203" t="s">
        <v>519</v>
      </c>
      <c r="B1229" s="204"/>
      <c r="C1229" s="205"/>
    </row>
    <row r="1230" ht="17.25" customHeight="1" spans="1:3">
      <c r="A1230" s="203" t="s">
        <v>1428</v>
      </c>
      <c r="B1230" s="204"/>
      <c r="C1230" s="205"/>
    </row>
    <row r="1231" ht="17.25" customHeight="1" spans="1:3">
      <c r="A1231" s="203" t="s">
        <v>1429</v>
      </c>
      <c r="B1231" s="204"/>
      <c r="C1231" s="205"/>
    </row>
    <row r="1232" ht="17.25" customHeight="1" spans="1:3">
      <c r="A1232" s="203" t="s">
        <v>1430</v>
      </c>
      <c r="B1232" s="206">
        <f>SUM(B1233:B1239)</f>
        <v>0</v>
      </c>
      <c r="C1232" s="207"/>
    </row>
    <row r="1233" ht="17.25" customHeight="1" spans="1:3">
      <c r="A1233" s="203" t="s">
        <v>517</v>
      </c>
      <c r="B1233" s="204"/>
      <c r="C1233" s="205"/>
    </row>
    <row r="1234" ht="17.25" customHeight="1" spans="1:3">
      <c r="A1234" s="203" t="s">
        <v>518</v>
      </c>
      <c r="B1234" s="204"/>
      <c r="C1234" s="205"/>
    </row>
    <row r="1235" ht="17.25" customHeight="1" spans="1:3">
      <c r="A1235" s="203" t="s">
        <v>519</v>
      </c>
      <c r="B1235" s="204"/>
      <c r="C1235" s="205"/>
    </row>
    <row r="1236" ht="17.25" customHeight="1" spans="1:3">
      <c r="A1236" s="203" t="s">
        <v>1431</v>
      </c>
      <c r="B1236" s="204"/>
      <c r="C1236" s="205"/>
    </row>
    <row r="1237" ht="17.25" customHeight="1" spans="1:3">
      <c r="A1237" s="203" t="s">
        <v>1432</v>
      </c>
      <c r="B1237" s="204"/>
      <c r="C1237" s="205"/>
    </row>
    <row r="1238" ht="17.25" customHeight="1" spans="1:3">
      <c r="A1238" s="203" t="s">
        <v>526</v>
      </c>
      <c r="B1238" s="204"/>
      <c r="C1238" s="205"/>
    </row>
    <row r="1239" ht="17.25" customHeight="1" spans="1:3">
      <c r="A1239" s="203" t="s">
        <v>1433</v>
      </c>
      <c r="B1239" s="204"/>
      <c r="C1239" s="205"/>
    </row>
    <row r="1240" ht="17.25" customHeight="1" spans="1:3">
      <c r="A1240" s="203" t="s">
        <v>1434</v>
      </c>
      <c r="B1240" s="206">
        <f>SUM(B1241:B1252)</f>
        <v>0</v>
      </c>
      <c r="C1240" s="207"/>
    </row>
    <row r="1241" ht="17.25" customHeight="1" spans="1:3">
      <c r="A1241" s="203" t="s">
        <v>517</v>
      </c>
      <c r="B1241" s="204"/>
      <c r="C1241" s="205"/>
    </row>
    <row r="1242" ht="17.25" customHeight="1" spans="1:3">
      <c r="A1242" s="203" t="s">
        <v>518</v>
      </c>
      <c r="B1242" s="204"/>
      <c r="C1242" s="205"/>
    </row>
    <row r="1243" ht="17.25" customHeight="1" spans="1:3">
      <c r="A1243" s="203" t="s">
        <v>519</v>
      </c>
      <c r="B1243" s="204"/>
      <c r="C1243" s="205"/>
    </row>
    <row r="1244" ht="17.25" customHeight="1" spans="1:3">
      <c r="A1244" s="203" t="s">
        <v>1435</v>
      </c>
      <c r="B1244" s="204"/>
      <c r="C1244" s="205"/>
    </row>
    <row r="1245" ht="17.25" customHeight="1" spans="1:3">
      <c r="A1245" s="203" t="s">
        <v>1436</v>
      </c>
      <c r="B1245" s="204"/>
      <c r="C1245" s="205"/>
    </row>
    <row r="1246" ht="17.25" customHeight="1" spans="1:3">
      <c r="A1246" s="203" t="s">
        <v>1437</v>
      </c>
      <c r="B1246" s="204"/>
      <c r="C1246" s="205"/>
    </row>
    <row r="1247" ht="17.25" customHeight="1" spans="1:3">
      <c r="A1247" s="203" t="s">
        <v>1438</v>
      </c>
      <c r="B1247" s="204"/>
      <c r="C1247" s="205"/>
    </row>
    <row r="1248" ht="17.25" customHeight="1" spans="1:3">
      <c r="A1248" s="203" t="s">
        <v>1439</v>
      </c>
      <c r="B1248" s="204"/>
      <c r="C1248" s="205"/>
    </row>
    <row r="1249" ht="17.25" customHeight="1" spans="1:3">
      <c r="A1249" s="203" t="s">
        <v>1440</v>
      </c>
      <c r="B1249" s="204"/>
      <c r="C1249" s="205"/>
    </row>
    <row r="1250" ht="17.25" customHeight="1" spans="1:3">
      <c r="A1250" s="203" t="s">
        <v>1441</v>
      </c>
      <c r="B1250" s="204"/>
      <c r="C1250" s="205"/>
    </row>
    <row r="1251" ht="17.25" customHeight="1" spans="1:3">
      <c r="A1251" s="203" t="s">
        <v>1442</v>
      </c>
      <c r="B1251" s="204"/>
      <c r="C1251" s="205"/>
    </row>
    <row r="1252" ht="17.25" customHeight="1" spans="1:3">
      <c r="A1252" s="203" t="s">
        <v>1443</v>
      </c>
      <c r="B1252" s="204"/>
      <c r="C1252" s="205"/>
    </row>
    <row r="1253" ht="17.25" customHeight="1" spans="1:3">
      <c r="A1253" s="203" t="s">
        <v>1444</v>
      </c>
      <c r="B1253" s="206">
        <f>SUM(B1254:B1256)</f>
        <v>0</v>
      </c>
      <c r="C1253" s="207"/>
    </row>
    <row r="1254" ht="17.25" customHeight="1" spans="1:3">
      <c r="A1254" s="203" t="s">
        <v>1445</v>
      </c>
      <c r="B1254" s="204"/>
      <c r="C1254" s="205"/>
    </row>
    <row r="1255" ht="17.25" customHeight="1" spans="1:3">
      <c r="A1255" s="203" t="s">
        <v>1446</v>
      </c>
      <c r="B1255" s="204"/>
      <c r="C1255" s="205"/>
    </row>
    <row r="1256" ht="17.25" customHeight="1" spans="1:3">
      <c r="A1256" s="203" t="s">
        <v>1447</v>
      </c>
      <c r="B1256" s="204"/>
      <c r="C1256" s="205"/>
    </row>
    <row r="1257" ht="17.25" customHeight="1" spans="1:3">
      <c r="A1257" s="203" t="s">
        <v>1448</v>
      </c>
      <c r="B1257" s="206">
        <f>SUM(B1258:B1262)</f>
        <v>0</v>
      </c>
      <c r="C1257" s="207"/>
    </row>
    <row r="1258" ht="17.25" customHeight="1" spans="1:3">
      <c r="A1258" s="203" t="s">
        <v>1449</v>
      </c>
      <c r="B1258" s="204"/>
      <c r="C1258" s="205"/>
    </row>
    <row r="1259" ht="17.25" customHeight="1" spans="1:3">
      <c r="A1259" s="203" t="s">
        <v>1450</v>
      </c>
      <c r="B1259" s="204"/>
      <c r="C1259" s="205"/>
    </row>
    <row r="1260" ht="17.25" customHeight="1" spans="1:3">
      <c r="A1260" s="203" t="s">
        <v>1451</v>
      </c>
      <c r="B1260" s="204"/>
      <c r="C1260" s="205"/>
    </row>
    <row r="1261" ht="17.25" customHeight="1" spans="1:3">
      <c r="A1261" s="203" t="s">
        <v>1452</v>
      </c>
      <c r="B1261" s="204"/>
      <c r="C1261" s="205"/>
    </row>
    <row r="1262" ht="17.25" customHeight="1" spans="1:3">
      <c r="A1262" s="203" t="s">
        <v>1453</v>
      </c>
      <c r="B1262" s="204"/>
      <c r="C1262" s="205"/>
    </row>
    <row r="1263" ht="17.25" customHeight="1" spans="1:3">
      <c r="A1263" s="203" t="s">
        <v>1454</v>
      </c>
      <c r="B1263" s="204"/>
      <c r="C1263" s="205"/>
    </row>
    <row r="1264" ht="17.25" customHeight="1" spans="1:3">
      <c r="A1264" s="198" t="s">
        <v>1455</v>
      </c>
      <c r="B1264" s="201">
        <v>1000</v>
      </c>
      <c r="C1264" s="202"/>
    </row>
    <row r="1265" ht="17.25" customHeight="1" spans="1:3">
      <c r="A1265" s="198" t="s">
        <v>60</v>
      </c>
      <c r="B1265" s="199">
        <f>B1266</f>
        <v>7000</v>
      </c>
      <c r="C1265" s="200"/>
    </row>
    <row r="1266" ht="17.25" customHeight="1" spans="1:3">
      <c r="A1266" s="198" t="s">
        <v>1456</v>
      </c>
      <c r="B1266" s="199">
        <f>SUM(B1267:B1270)</f>
        <v>7000</v>
      </c>
      <c r="C1266" s="200"/>
    </row>
    <row r="1267" ht="17.25" customHeight="1" spans="1:3">
      <c r="A1267" s="198" t="s">
        <v>1457</v>
      </c>
      <c r="B1267" s="201">
        <v>7000</v>
      </c>
      <c r="C1267" s="202"/>
    </row>
    <row r="1268" ht="17.25" customHeight="1" spans="1:3">
      <c r="A1268" s="203" t="s">
        <v>1458</v>
      </c>
      <c r="B1268" s="204"/>
      <c r="C1268" s="205"/>
    </row>
    <row r="1269" ht="17.25" customHeight="1" spans="1:3">
      <c r="A1269" s="203" t="s">
        <v>1459</v>
      </c>
      <c r="B1269" s="204"/>
      <c r="C1269" s="205"/>
    </row>
    <row r="1270" ht="17.25" customHeight="1" spans="1:3">
      <c r="A1270" s="203" t="s">
        <v>1460</v>
      </c>
      <c r="B1270" s="204"/>
      <c r="C1270" s="205"/>
    </row>
    <row r="1271" ht="17.25" customHeight="1" spans="1:3">
      <c r="A1271" s="203" t="s">
        <v>1461</v>
      </c>
      <c r="B1271" s="204">
        <f>B1272</f>
        <v>0</v>
      </c>
      <c r="C1271" s="207"/>
    </row>
    <row r="1272" ht="17.25" customHeight="1" spans="1:3">
      <c r="A1272" s="203" t="s">
        <v>1462</v>
      </c>
      <c r="B1272" s="204"/>
      <c r="C1272" s="205"/>
    </row>
    <row r="1273" ht="17.25" customHeight="1" spans="1:3">
      <c r="A1273" s="198" t="s">
        <v>1463</v>
      </c>
      <c r="B1273" s="199">
        <f>SUM(B1274:B1275)</f>
        <v>3000</v>
      </c>
      <c r="C1273" s="200"/>
    </row>
    <row r="1274" ht="17.25" customHeight="1" spans="1:3">
      <c r="A1274" s="198" t="s">
        <v>1464</v>
      </c>
      <c r="B1274" s="201">
        <v>3000</v>
      </c>
      <c r="C1274" s="202"/>
    </row>
    <row r="1275" ht="17.25" customHeight="1" spans="1:3">
      <c r="A1275" s="203" t="s">
        <v>189</v>
      </c>
      <c r="B1275" s="204"/>
      <c r="C1275" s="205"/>
    </row>
    <row r="1276" ht="17.25" customHeight="1" spans="1:3">
      <c r="A1276" s="200"/>
      <c r="B1276" s="200"/>
      <c r="C1276" s="200"/>
    </row>
    <row r="1277" ht="17.25" customHeight="1" spans="1:3">
      <c r="A1277" s="200"/>
      <c r="B1277" s="200"/>
      <c r="C1277" s="200"/>
    </row>
    <row r="1278" ht="17.25" customHeight="1" spans="1:3">
      <c r="A1278" s="208" t="s">
        <v>1465</v>
      </c>
      <c r="B1278" s="199">
        <f>B5+B250+B253+B265+B356+B409+B463+B520+B640+B712+B785+B804+B915+B979+B1045+B1065+B1080+B1090+B1134+B1154+B1207+B1264+B1265+B1271+B1273</f>
        <v>352359</v>
      </c>
      <c r="C1278" s="200"/>
    </row>
  </sheetData>
  <autoFilter ref="A4:C1275">
    <extLst/>
  </autoFilter>
  <mergeCells count="1">
    <mergeCell ref="A2:C2"/>
  </mergeCells>
  <pageMargins left="0.708333333333333" right="0.708333333333333" top="0.747916666666667" bottom="0.747916666666667" header="0.314583333333333" footer="0.314583333333333"/>
  <pageSetup paperSize="9" scale="87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8"/>
  <sheetViews>
    <sheetView showZeros="0" tabSelected="1" workbookViewId="0">
      <selection activeCell="C3" sqref="C3:D3"/>
    </sheetView>
  </sheetViews>
  <sheetFormatPr defaultColWidth="9" defaultRowHeight="14.25" outlineLevelCol="3"/>
  <cols>
    <col min="1" max="1" width="42" style="138" customWidth="1"/>
    <col min="2" max="2" width="11" style="138" customWidth="1"/>
    <col min="3" max="3" width="37.125" style="138" customWidth="1"/>
    <col min="4" max="4" width="11.5" style="138" customWidth="1"/>
    <col min="5" max="16384" width="9" style="138"/>
  </cols>
  <sheetData>
    <row r="1" ht="18" customHeight="1" spans="1:1">
      <c r="A1" s="151" t="s">
        <v>1466</v>
      </c>
    </row>
    <row r="2" ht="26.25" customHeight="1" spans="1:4">
      <c r="A2" s="152" t="s">
        <v>1467</v>
      </c>
      <c r="B2" s="152"/>
      <c r="C2" s="152"/>
      <c r="D2" s="152"/>
    </row>
    <row r="3" ht="22.5" customHeight="1" spans="1:4">
      <c r="A3" s="153"/>
      <c r="B3" s="154"/>
      <c r="C3" s="155" t="s">
        <v>1468</v>
      </c>
      <c r="D3" s="155"/>
    </row>
    <row r="4" ht="20.45" customHeight="1" spans="1:4">
      <c r="A4" s="156" t="s">
        <v>1469</v>
      </c>
      <c r="B4" s="157"/>
      <c r="C4" s="156" t="s">
        <v>1470</v>
      </c>
      <c r="D4" s="157"/>
    </row>
    <row r="5" ht="24.75" customHeight="1" spans="1:4">
      <c r="A5" s="158" t="s">
        <v>65</v>
      </c>
      <c r="B5" s="158" t="s">
        <v>506</v>
      </c>
      <c r="C5" s="158" t="s">
        <v>65</v>
      </c>
      <c r="D5" s="158" t="s">
        <v>506</v>
      </c>
    </row>
    <row r="6" ht="24.75" customHeight="1" spans="1:4">
      <c r="A6" s="159" t="s">
        <v>1471</v>
      </c>
      <c r="B6" s="160">
        <f>46240+462</f>
        <v>46702</v>
      </c>
      <c r="C6" s="161" t="s">
        <v>62</v>
      </c>
      <c r="D6" s="160">
        <v>352359</v>
      </c>
    </row>
    <row r="7" ht="25.5" customHeight="1" spans="1:4">
      <c r="A7" s="162" t="s">
        <v>69</v>
      </c>
      <c r="B7" s="163">
        <f>B8+B15+B50</f>
        <v>300697</v>
      </c>
      <c r="C7" s="164" t="s">
        <v>70</v>
      </c>
      <c r="D7" s="165"/>
    </row>
    <row r="8" ht="18" customHeight="1" spans="1:4">
      <c r="A8" s="162" t="s">
        <v>1472</v>
      </c>
      <c r="B8" s="163">
        <f>SUM(B9:B14)</f>
        <v>7400</v>
      </c>
      <c r="C8" s="164" t="s">
        <v>72</v>
      </c>
      <c r="D8" s="166">
        <f>SUM(D9:D14)</f>
        <v>0</v>
      </c>
    </row>
    <row r="9" ht="18" customHeight="1" spans="1:4">
      <c r="A9" s="167" t="s">
        <v>1473</v>
      </c>
      <c r="B9" s="168">
        <v>327</v>
      </c>
      <c r="C9" s="169" t="s">
        <v>74</v>
      </c>
      <c r="D9" s="170"/>
    </row>
    <row r="10" ht="13.5" spans="1:4">
      <c r="A10" s="167" t="s">
        <v>1474</v>
      </c>
      <c r="B10" s="168">
        <v>1804</v>
      </c>
      <c r="C10" s="169" t="s">
        <v>1475</v>
      </c>
      <c r="D10" s="170"/>
    </row>
    <row r="11" ht="18" customHeight="1" spans="1:4">
      <c r="A11" s="167" t="s">
        <v>1476</v>
      </c>
      <c r="B11" s="168">
        <v>3077</v>
      </c>
      <c r="C11" s="169" t="s">
        <v>78</v>
      </c>
      <c r="D11" s="170"/>
    </row>
    <row r="12" ht="18" customHeight="1" spans="1:4">
      <c r="A12" s="167" t="s">
        <v>1477</v>
      </c>
      <c r="B12" s="168">
        <v>15</v>
      </c>
      <c r="C12" s="169" t="s">
        <v>80</v>
      </c>
      <c r="D12" s="170"/>
    </row>
    <row r="13" ht="18" customHeight="1" spans="1:4">
      <c r="A13" s="167" t="s">
        <v>1478</v>
      </c>
      <c r="B13" s="168">
        <v>3385</v>
      </c>
      <c r="C13" s="169" t="s">
        <v>1479</v>
      </c>
      <c r="D13" s="170"/>
    </row>
    <row r="14" ht="18" customHeight="1" spans="1:4">
      <c r="A14" s="167" t="s">
        <v>1480</v>
      </c>
      <c r="B14" s="168">
        <v>-1208</v>
      </c>
      <c r="C14" s="169" t="s">
        <v>1481</v>
      </c>
      <c r="D14" s="170"/>
    </row>
    <row r="15" ht="18" customHeight="1" spans="1:4">
      <c r="A15" s="171" t="s">
        <v>1482</v>
      </c>
      <c r="B15" s="163">
        <f>SUM(B16:B49)</f>
        <v>291699</v>
      </c>
      <c r="C15" s="164" t="s">
        <v>1483</v>
      </c>
      <c r="D15" s="166">
        <f>SUM(D16:D49)</f>
        <v>0</v>
      </c>
    </row>
    <row r="16" ht="18" customHeight="1" spans="1:4">
      <c r="A16" s="167" t="s">
        <v>1484</v>
      </c>
      <c r="B16" s="160"/>
      <c r="C16" s="169" t="s">
        <v>88</v>
      </c>
      <c r="D16" s="170"/>
    </row>
    <row r="17" ht="18" customHeight="1" spans="1:4">
      <c r="A17" s="172" t="s">
        <v>1485</v>
      </c>
      <c r="B17" s="160">
        <v>92933</v>
      </c>
      <c r="C17" s="169" t="s">
        <v>90</v>
      </c>
      <c r="D17" s="170"/>
    </row>
    <row r="18" ht="18" customHeight="1" spans="1:4">
      <c r="A18" s="173" t="s">
        <v>1486</v>
      </c>
      <c r="B18" s="160">
        <v>22045</v>
      </c>
      <c r="C18" s="169" t="s">
        <v>92</v>
      </c>
      <c r="D18" s="170"/>
    </row>
    <row r="19" ht="18" customHeight="1" spans="1:4">
      <c r="A19" s="173" t="s">
        <v>1487</v>
      </c>
      <c r="B19" s="160">
        <f>3269+12</f>
        <v>3281</v>
      </c>
      <c r="C19" s="169" t="s">
        <v>94</v>
      </c>
      <c r="D19" s="170"/>
    </row>
    <row r="20" ht="18" customHeight="1" spans="1:4">
      <c r="A20" s="173" t="s">
        <v>1488</v>
      </c>
      <c r="B20" s="160"/>
      <c r="C20" s="169" t="s">
        <v>96</v>
      </c>
      <c r="D20" s="170"/>
    </row>
    <row r="21" ht="18" customHeight="1" spans="1:4">
      <c r="A21" s="173" t="s">
        <v>1489</v>
      </c>
      <c r="B21" s="160"/>
      <c r="C21" s="169" t="s">
        <v>98</v>
      </c>
      <c r="D21" s="170"/>
    </row>
    <row r="22" ht="18" customHeight="1" spans="1:4">
      <c r="A22" s="173" t="s">
        <v>1490</v>
      </c>
      <c r="B22" s="160">
        <v>3598</v>
      </c>
      <c r="C22" s="174" t="s">
        <v>1491</v>
      </c>
      <c r="D22" s="170"/>
    </row>
    <row r="23" ht="18" customHeight="1" spans="1:4">
      <c r="A23" s="173" t="s">
        <v>1492</v>
      </c>
      <c r="B23" s="160">
        <v>4665</v>
      </c>
      <c r="C23" s="174" t="s">
        <v>114</v>
      </c>
      <c r="D23" s="170"/>
    </row>
    <row r="24" ht="18" customHeight="1" spans="1:4">
      <c r="A24" s="173" t="s">
        <v>1493</v>
      </c>
      <c r="B24" s="160">
        <v>25356</v>
      </c>
      <c r="C24" s="174" t="s">
        <v>116</v>
      </c>
      <c r="D24" s="170"/>
    </row>
    <row r="25" ht="18" customHeight="1" spans="1:4">
      <c r="A25" s="173" t="s">
        <v>1494</v>
      </c>
      <c r="B25" s="160">
        <v>2970</v>
      </c>
      <c r="C25" s="173" t="s">
        <v>118</v>
      </c>
      <c r="D25" s="170"/>
    </row>
    <row r="26" ht="18" customHeight="1" spans="1:4">
      <c r="A26" s="173" t="s">
        <v>1495</v>
      </c>
      <c r="B26" s="160">
        <v>18719</v>
      </c>
      <c r="C26" s="173" t="s">
        <v>124</v>
      </c>
      <c r="D26" s="170"/>
    </row>
    <row r="27" ht="18" customHeight="1" spans="1:4">
      <c r="A27" s="173" t="s">
        <v>1496</v>
      </c>
      <c r="B27" s="160"/>
      <c r="C27" s="169" t="s">
        <v>1497</v>
      </c>
      <c r="D27" s="170"/>
    </row>
    <row r="28" ht="18" customHeight="1" spans="1:4">
      <c r="A28" s="173" t="s">
        <v>1498</v>
      </c>
      <c r="B28" s="160"/>
      <c r="C28" s="173" t="s">
        <v>1499</v>
      </c>
      <c r="D28" s="170"/>
    </row>
    <row r="29" ht="18" customHeight="1" spans="1:4">
      <c r="A29" s="173" t="s">
        <v>1500</v>
      </c>
      <c r="B29" s="160"/>
      <c r="C29" s="173" t="s">
        <v>1501</v>
      </c>
      <c r="D29" s="170"/>
    </row>
    <row r="30" ht="18" customHeight="1" spans="1:4">
      <c r="A30" s="173" t="s">
        <v>1502</v>
      </c>
      <c r="B30" s="160"/>
      <c r="C30" s="173" t="s">
        <v>1503</v>
      </c>
      <c r="D30" s="170"/>
    </row>
    <row r="31" ht="18" customHeight="1" spans="1:4">
      <c r="A31" s="173" t="s">
        <v>1504</v>
      </c>
      <c r="B31" s="160"/>
      <c r="C31" s="173" t="s">
        <v>1505</v>
      </c>
      <c r="D31" s="170"/>
    </row>
    <row r="32" ht="18" customHeight="1" spans="1:4">
      <c r="A32" s="173" t="s">
        <v>1506</v>
      </c>
      <c r="B32" s="160">
        <v>19425</v>
      </c>
      <c r="C32" s="173" t="s">
        <v>1507</v>
      </c>
      <c r="D32" s="170"/>
    </row>
    <row r="33" ht="18" customHeight="1" spans="1:4">
      <c r="A33" s="173" t="s">
        <v>1508</v>
      </c>
      <c r="B33" s="160"/>
      <c r="C33" s="173" t="s">
        <v>1509</v>
      </c>
      <c r="D33" s="170"/>
    </row>
    <row r="34" ht="27" customHeight="1" spans="1:4">
      <c r="A34" s="173" t="s">
        <v>1510</v>
      </c>
      <c r="B34" s="160">
        <v>1300</v>
      </c>
      <c r="C34" s="173" t="s">
        <v>1511</v>
      </c>
      <c r="D34" s="170"/>
    </row>
    <row r="35" ht="18" customHeight="1" spans="1:4">
      <c r="A35" s="173" t="s">
        <v>1512</v>
      </c>
      <c r="B35" s="160">
        <f>3481+34670+2923+426+310</f>
        <v>41810</v>
      </c>
      <c r="C35" s="173" t="s">
        <v>1513</v>
      </c>
      <c r="D35" s="170"/>
    </row>
    <row r="36" ht="18" customHeight="1" spans="1:4">
      <c r="A36" s="173" t="s">
        <v>1514</v>
      </c>
      <c r="B36" s="160">
        <f>50+10663+500+893</f>
        <v>12106</v>
      </c>
      <c r="C36" s="173" t="s">
        <v>1515</v>
      </c>
      <c r="D36" s="170"/>
    </row>
    <row r="37" ht="18" customHeight="1" spans="1:4">
      <c r="A37" s="173" t="s">
        <v>1516</v>
      </c>
      <c r="B37" s="160">
        <v>2619</v>
      </c>
      <c r="C37" s="173" t="s">
        <v>144</v>
      </c>
      <c r="D37" s="170"/>
    </row>
    <row r="38" ht="18" customHeight="1" spans="1:4">
      <c r="A38" s="173" t="s">
        <v>1517</v>
      </c>
      <c r="B38" s="160"/>
      <c r="C38" s="173" t="s">
        <v>146</v>
      </c>
      <c r="D38" s="170"/>
    </row>
    <row r="39" ht="18" customHeight="1" spans="1:4">
      <c r="A39" s="173" t="s">
        <v>1518</v>
      </c>
      <c r="B39" s="160">
        <f>400+24640+1001+611+610</f>
        <v>27262</v>
      </c>
      <c r="C39" s="173" t="s">
        <v>1519</v>
      </c>
      <c r="D39" s="170"/>
    </row>
    <row r="40" ht="18" customHeight="1" spans="1:4">
      <c r="A40" s="173" t="s">
        <v>1520</v>
      </c>
      <c r="B40" s="160">
        <f>440</f>
        <v>440</v>
      </c>
      <c r="C40" s="173" t="s">
        <v>1521</v>
      </c>
      <c r="D40" s="170"/>
    </row>
    <row r="41" ht="18" customHeight="1" spans="1:4">
      <c r="A41" s="173" t="s">
        <v>1522</v>
      </c>
      <c r="B41" s="160"/>
      <c r="C41" s="173" t="s">
        <v>1523</v>
      </c>
      <c r="D41" s="170"/>
    </row>
    <row r="42" ht="18" customHeight="1" spans="1:4">
      <c r="A42" s="173" t="s">
        <v>1524</v>
      </c>
      <c r="B42" s="160"/>
      <c r="C42" s="173" t="s">
        <v>154</v>
      </c>
      <c r="D42" s="170"/>
    </row>
    <row r="43" ht="18" customHeight="1" spans="1:4">
      <c r="A43" s="173" t="s">
        <v>1525</v>
      </c>
      <c r="B43" s="160"/>
      <c r="C43" s="173" t="s">
        <v>1526</v>
      </c>
      <c r="D43" s="170"/>
    </row>
    <row r="44" ht="27" spans="1:4">
      <c r="A44" s="173" t="s">
        <v>1527</v>
      </c>
      <c r="B44" s="160"/>
      <c r="C44" s="173" t="s">
        <v>1528</v>
      </c>
      <c r="D44" s="170"/>
    </row>
    <row r="45" ht="18" customHeight="1" spans="1:4">
      <c r="A45" s="173" t="s">
        <v>1529</v>
      </c>
      <c r="B45" s="160">
        <f>1632+7910-219</f>
        <v>9323</v>
      </c>
      <c r="C45" s="173" t="s">
        <v>160</v>
      </c>
      <c r="D45" s="170"/>
    </row>
    <row r="46" ht="18" customHeight="1" spans="1:4">
      <c r="A46" s="173" t="s">
        <v>1530</v>
      </c>
      <c r="B46" s="160"/>
      <c r="C46" s="173" t="s">
        <v>162</v>
      </c>
      <c r="D46" s="170"/>
    </row>
    <row r="47" ht="27" spans="1:4">
      <c r="A47" s="173" t="s">
        <v>1531</v>
      </c>
      <c r="B47" s="160"/>
      <c r="C47" s="173" t="s">
        <v>1532</v>
      </c>
      <c r="D47" s="170"/>
    </row>
    <row r="48" ht="18.75" customHeight="1" spans="1:4">
      <c r="A48" s="173" t="s">
        <v>1533</v>
      </c>
      <c r="B48" s="160"/>
      <c r="C48" s="173" t="s">
        <v>1534</v>
      </c>
      <c r="D48" s="170"/>
    </row>
    <row r="49" ht="18.75" customHeight="1" spans="1:4">
      <c r="A49" s="173" t="s">
        <v>1535</v>
      </c>
      <c r="B49" s="160">
        <f>1824+2023</f>
        <v>3847</v>
      </c>
      <c r="C49" s="169" t="s">
        <v>166</v>
      </c>
      <c r="D49" s="170"/>
    </row>
    <row r="50" ht="18.75" customHeight="1" spans="1:4">
      <c r="A50" s="175" t="s">
        <v>1536</v>
      </c>
      <c r="B50" s="163">
        <f>SUM(B51:B71)</f>
        <v>1598</v>
      </c>
      <c r="C50" s="164" t="s">
        <v>1537</v>
      </c>
      <c r="D50" s="166">
        <f>SUM(D51:D71)</f>
        <v>0</v>
      </c>
    </row>
    <row r="51" ht="18.75" customHeight="1" spans="1:4">
      <c r="A51" s="173" t="s">
        <v>169</v>
      </c>
      <c r="B51" s="160">
        <f>6+15</f>
        <v>21</v>
      </c>
      <c r="C51" s="169" t="s">
        <v>169</v>
      </c>
      <c r="D51" s="170"/>
    </row>
    <row r="52" ht="18.75" customHeight="1" spans="1:4">
      <c r="A52" s="173" t="s">
        <v>170</v>
      </c>
      <c r="B52" s="160"/>
      <c r="C52" s="169" t="s">
        <v>170</v>
      </c>
      <c r="D52" s="170"/>
    </row>
    <row r="53" ht="18.75" customHeight="1" spans="1:4">
      <c r="A53" s="173" t="s">
        <v>171</v>
      </c>
      <c r="B53" s="160"/>
      <c r="C53" s="169" t="s">
        <v>171</v>
      </c>
      <c r="D53" s="170"/>
    </row>
    <row r="54" ht="18.75" customHeight="1" spans="1:4">
      <c r="A54" s="173" t="s">
        <v>172</v>
      </c>
      <c r="B54" s="160"/>
      <c r="C54" s="169" t="s">
        <v>172</v>
      </c>
      <c r="D54" s="170"/>
    </row>
    <row r="55" ht="18.75" customHeight="1" spans="1:4">
      <c r="A55" s="173" t="s">
        <v>173</v>
      </c>
      <c r="B55" s="160"/>
      <c r="C55" s="169" t="s">
        <v>173</v>
      </c>
      <c r="D55" s="170"/>
    </row>
    <row r="56" ht="18.75" customHeight="1" spans="1:4">
      <c r="A56" s="173" t="s">
        <v>174</v>
      </c>
      <c r="B56" s="160"/>
      <c r="C56" s="169" t="s">
        <v>174</v>
      </c>
      <c r="D56" s="170"/>
    </row>
    <row r="57" ht="18.75" customHeight="1" spans="1:4">
      <c r="A57" s="173" t="s">
        <v>175</v>
      </c>
      <c r="B57" s="160"/>
      <c r="C57" s="169" t="s">
        <v>175</v>
      </c>
      <c r="D57" s="170"/>
    </row>
    <row r="58" ht="18.75" customHeight="1" spans="1:4">
      <c r="A58" s="173" t="s">
        <v>176</v>
      </c>
      <c r="B58" s="160"/>
      <c r="C58" s="169" t="s">
        <v>176</v>
      </c>
      <c r="D58" s="170"/>
    </row>
    <row r="59" ht="18.75" customHeight="1" spans="1:4">
      <c r="A59" s="173" t="s">
        <v>177</v>
      </c>
      <c r="B59" s="160">
        <v>207</v>
      </c>
      <c r="C59" s="169" t="s">
        <v>177</v>
      </c>
      <c r="D59" s="170"/>
    </row>
    <row r="60" ht="18.75" customHeight="1" spans="1:4">
      <c r="A60" s="173" t="s">
        <v>178</v>
      </c>
      <c r="B60" s="160">
        <v>587</v>
      </c>
      <c r="C60" s="169" t="s">
        <v>178</v>
      </c>
      <c r="D60" s="170"/>
    </row>
    <row r="61" ht="18.75" customHeight="1" spans="1:4">
      <c r="A61" s="173" t="s">
        <v>179</v>
      </c>
      <c r="B61" s="160"/>
      <c r="C61" s="169" t="s">
        <v>179</v>
      </c>
      <c r="D61" s="170"/>
    </row>
    <row r="62" ht="18.75" customHeight="1" spans="1:4">
      <c r="A62" s="173" t="s">
        <v>180</v>
      </c>
      <c r="B62" s="160">
        <f>303+480</f>
        <v>783</v>
      </c>
      <c r="C62" s="169" t="s">
        <v>180</v>
      </c>
      <c r="D62" s="170"/>
    </row>
    <row r="63" ht="18.75" customHeight="1" spans="1:4">
      <c r="A63" s="173" t="s">
        <v>181</v>
      </c>
      <c r="B63" s="160"/>
      <c r="C63" s="169" t="s">
        <v>181</v>
      </c>
      <c r="D63" s="170"/>
    </row>
    <row r="64" ht="18.75" customHeight="1" spans="1:4">
      <c r="A64" s="173" t="s">
        <v>182</v>
      </c>
      <c r="B64" s="160"/>
      <c r="C64" s="169" t="s">
        <v>182</v>
      </c>
      <c r="D64" s="170"/>
    </row>
    <row r="65" ht="18.75" customHeight="1" spans="1:4">
      <c r="A65" s="173" t="s">
        <v>183</v>
      </c>
      <c r="B65" s="160"/>
      <c r="C65" s="169" t="s">
        <v>183</v>
      </c>
      <c r="D65" s="170"/>
    </row>
    <row r="66" ht="18.75" customHeight="1" spans="1:4">
      <c r="A66" s="173" t="s">
        <v>184</v>
      </c>
      <c r="B66" s="160"/>
      <c r="C66" s="169" t="s">
        <v>184</v>
      </c>
      <c r="D66" s="170"/>
    </row>
    <row r="67" ht="18.75" customHeight="1" spans="1:4">
      <c r="A67" s="173" t="s">
        <v>185</v>
      </c>
      <c r="B67" s="160"/>
      <c r="C67" s="169" t="s">
        <v>185</v>
      </c>
      <c r="D67" s="170"/>
    </row>
    <row r="68" ht="18.75" customHeight="1" spans="1:4">
      <c r="A68" s="173" t="s">
        <v>186</v>
      </c>
      <c r="B68" s="160"/>
      <c r="C68" s="169" t="s">
        <v>186</v>
      </c>
      <c r="D68" s="170"/>
    </row>
    <row r="69" ht="18.75" customHeight="1" spans="1:4">
      <c r="A69" s="173" t="s">
        <v>187</v>
      </c>
      <c r="B69" s="160"/>
      <c r="C69" s="169" t="s">
        <v>187</v>
      </c>
      <c r="D69" s="170"/>
    </row>
    <row r="70" ht="18.75" customHeight="1" spans="1:4">
      <c r="A70" s="173" t="s">
        <v>188</v>
      </c>
      <c r="B70" s="160"/>
      <c r="C70" s="169" t="s">
        <v>188</v>
      </c>
      <c r="D70" s="170"/>
    </row>
    <row r="71" ht="18.75" customHeight="1" spans="1:4">
      <c r="A71" s="173" t="s">
        <v>33</v>
      </c>
      <c r="B71" s="160"/>
      <c r="C71" s="169" t="s">
        <v>189</v>
      </c>
      <c r="D71" s="170"/>
    </row>
    <row r="72" ht="18.75" customHeight="1" spans="1:4">
      <c r="A72" s="175" t="s">
        <v>190</v>
      </c>
      <c r="B72" s="163">
        <f>SUM(B73:B74)</f>
        <v>0</v>
      </c>
      <c r="C72" s="164" t="s">
        <v>191</v>
      </c>
      <c r="D72" s="176">
        <f>SUM(D73:D74)</f>
        <v>200</v>
      </c>
    </row>
    <row r="73" ht="18.75" customHeight="1" spans="1:4">
      <c r="A73" s="173" t="s">
        <v>1538</v>
      </c>
      <c r="B73" s="160"/>
      <c r="C73" s="169" t="s">
        <v>1539</v>
      </c>
      <c r="D73" s="160"/>
    </row>
    <row r="74" ht="18.75" customHeight="1" spans="1:4">
      <c r="A74" s="177" t="s">
        <v>1540</v>
      </c>
      <c r="B74" s="160"/>
      <c r="C74" s="169" t="s">
        <v>1541</v>
      </c>
      <c r="D74" s="160">
        <v>200</v>
      </c>
    </row>
    <row r="75" ht="18.75" customHeight="1" spans="1:4">
      <c r="A75" s="171" t="s">
        <v>1542</v>
      </c>
      <c r="B75" s="176">
        <f>SUM(B76:B78)</f>
        <v>5000</v>
      </c>
      <c r="C75" s="164" t="s">
        <v>199</v>
      </c>
      <c r="D75" s="178"/>
    </row>
    <row r="76" ht="18.75" customHeight="1" spans="1:4">
      <c r="A76" s="179" t="s">
        <v>1543</v>
      </c>
      <c r="B76" s="160">
        <v>4000</v>
      </c>
      <c r="C76" s="164" t="s">
        <v>248</v>
      </c>
      <c r="D76" s="178"/>
    </row>
    <row r="77" ht="18.75" customHeight="1" spans="1:4">
      <c r="A77" s="179" t="s">
        <v>1544</v>
      </c>
      <c r="B77" s="160">
        <v>1000</v>
      </c>
      <c r="C77" s="180" t="s">
        <v>234</v>
      </c>
      <c r="D77" s="178"/>
    </row>
    <row r="78" ht="18.75" customHeight="1" spans="1:4">
      <c r="A78" s="179" t="s">
        <v>1545</v>
      </c>
      <c r="B78" s="160"/>
      <c r="C78" s="180" t="s">
        <v>1546</v>
      </c>
      <c r="D78" s="176">
        <f>SUM(D79:D81)</f>
        <v>0</v>
      </c>
    </row>
    <row r="79" ht="18.75" customHeight="1" spans="1:4">
      <c r="A79" s="181" t="s">
        <v>1547</v>
      </c>
      <c r="B79" s="178"/>
      <c r="C79" s="182" t="s">
        <v>208</v>
      </c>
      <c r="D79" s="160"/>
    </row>
    <row r="80" ht="18.75" customHeight="1" spans="1:4">
      <c r="A80" s="171" t="s">
        <v>233</v>
      </c>
      <c r="B80" s="178">
        <v>160</v>
      </c>
      <c r="C80" s="182" t="s">
        <v>210</v>
      </c>
      <c r="D80" s="183"/>
    </row>
    <row r="81" ht="18.75" customHeight="1" spans="1:4">
      <c r="A81" s="171" t="s">
        <v>1548</v>
      </c>
      <c r="B81" s="160"/>
      <c r="C81" s="182" t="s">
        <v>212</v>
      </c>
      <c r="D81" s="183"/>
    </row>
    <row r="82" ht="18.75" customHeight="1" spans="1:4">
      <c r="A82" s="184" t="s">
        <v>235</v>
      </c>
      <c r="B82" s="160"/>
      <c r="C82" s="180" t="s">
        <v>1549</v>
      </c>
      <c r="D82" s="183"/>
    </row>
    <row r="83" ht="18.75" customHeight="1" spans="1:4">
      <c r="A83" s="167"/>
      <c r="B83" s="160"/>
      <c r="C83" s="185"/>
      <c r="D83" s="186"/>
    </row>
    <row r="84" ht="18.75" customHeight="1" spans="1:4">
      <c r="A84" s="187" t="s">
        <v>1550</v>
      </c>
      <c r="B84" s="176">
        <f>B82+B81+B80+B79+B75+B72+B7+B6</f>
        <v>352559</v>
      </c>
      <c r="C84" s="188" t="s">
        <v>1551</v>
      </c>
      <c r="D84" s="176">
        <f>D83+D82+D78+D77+D76+D75+D72+D7+D6</f>
        <v>352559</v>
      </c>
    </row>
    <row r="98" spans="3:3">
      <c r="C98" s="138">
        <v>0</v>
      </c>
    </row>
  </sheetData>
  <mergeCells count="4">
    <mergeCell ref="A2:D2"/>
    <mergeCell ref="C3:D3"/>
    <mergeCell ref="A4:B4"/>
    <mergeCell ref="C4:D4"/>
  </mergeCells>
  <pageMargins left="0.904861111111111" right="0.904861111111111" top="0.569444444444444" bottom="0.339583333333333" header="0.314583333333333" footer="0.314583333333333"/>
  <pageSetup paperSize="9" scale="82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1"/>
  <sheetViews>
    <sheetView showZeros="0" workbookViewId="0">
      <selection activeCell="A2" sqref="A2:C2"/>
    </sheetView>
  </sheetViews>
  <sheetFormatPr defaultColWidth="9" defaultRowHeight="14.25" outlineLevelCol="2"/>
  <cols>
    <col min="1" max="1" width="29.625" style="137" customWidth="1"/>
    <col min="2" max="2" width="23.75" style="138" customWidth="1"/>
    <col min="3" max="3" width="23.375" style="138" customWidth="1"/>
    <col min="4" max="16384" width="9" style="138"/>
  </cols>
  <sheetData>
    <row r="1" ht="18" customHeight="1" spans="1:1">
      <c r="A1" s="139" t="s">
        <v>1552</v>
      </c>
    </row>
    <row r="2" ht="59.25" customHeight="1" spans="1:3">
      <c r="A2" s="140" t="s">
        <v>1553</v>
      </c>
      <c r="B2" s="140"/>
      <c r="C2" s="140"/>
    </row>
    <row r="3" ht="27" customHeight="1" spans="1:3">
      <c r="A3" s="140"/>
      <c r="B3" s="140"/>
      <c r="C3" s="141" t="s">
        <v>2</v>
      </c>
    </row>
    <row r="4" s="136" customFormat="1" ht="27.75" customHeight="1" spans="1:3">
      <c r="A4" s="142" t="s">
        <v>1554</v>
      </c>
      <c r="B4" s="142" t="s">
        <v>506</v>
      </c>
      <c r="C4" s="142" t="s">
        <v>1555</v>
      </c>
    </row>
    <row r="5" s="136" customFormat="1" ht="27.75" customHeight="1" spans="1:3">
      <c r="A5" s="143" t="s">
        <v>1556</v>
      </c>
      <c r="B5" s="144">
        <f>B6+B11+B22+B29+B33+B36</f>
        <v>191365</v>
      </c>
      <c r="C5" s="145"/>
    </row>
    <row r="6" ht="17.25" customHeight="1" spans="1:3">
      <c r="A6" s="146" t="s">
        <v>1557</v>
      </c>
      <c r="B6" s="147">
        <f>SUM(B7:B10)</f>
        <v>38764</v>
      </c>
      <c r="C6" s="148"/>
    </row>
    <row r="7" ht="17.25" customHeight="1" spans="1:3">
      <c r="A7" s="149" t="s">
        <v>1558</v>
      </c>
      <c r="B7" s="150">
        <v>28136</v>
      </c>
      <c r="C7" s="148"/>
    </row>
    <row r="8" ht="17.25" customHeight="1" spans="1:3">
      <c r="A8" s="149" t="s">
        <v>1559</v>
      </c>
      <c r="B8" s="150">
        <v>7369</v>
      </c>
      <c r="C8" s="148"/>
    </row>
    <row r="9" ht="17.25" customHeight="1" spans="1:3">
      <c r="A9" s="149" t="s">
        <v>1560</v>
      </c>
      <c r="B9" s="150">
        <v>3259</v>
      </c>
      <c r="C9" s="148"/>
    </row>
    <row r="10" ht="17.25" customHeight="1" spans="1:3">
      <c r="A10" s="149" t="s">
        <v>1561</v>
      </c>
      <c r="B10" s="150">
        <v>0</v>
      </c>
      <c r="C10" s="148"/>
    </row>
    <row r="11" ht="17.25" customHeight="1" spans="1:3">
      <c r="A11" s="146" t="s">
        <v>1562</v>
      </c>
      <c r="B11" s="147">
        <f>SUM(B12:B21)</f>
        <v>9313</v>
      </c>
      <c r="C11" s="148"/>
    </row>
    <row r="12" ht="17.25" customHeight="1" spans="1:3">
      <c r="A12" s="149" t="s">
        <v>1563</v>
      </c>
      <c r="B12" s="150">
        <v>7721</v>
      </c>
      <c r="C12" s="148"/>
    </row>
    <row r="13" ht="17.25" customHeight="1" spans="1:3">
      <c r="A13" s="149" t="s">
        <v>1564</v>
      </c>
      <c r="B13" s="150">
        <v>113</v>
      </c>
      <c r="C13" s="148"/>
    </row>
    <row r="14" ht="17.25" customHeight="1" spans="1:3">
      <c r="A14" s="149" t="s">
        <v>1565</v>
      </c>
      <c r="B14" s="150">
        <v>141</v>
      </c>
      <c r="C14" s="148"/>
    </row>
    <row r="15" ht="17.25" customHeight="1" spans="1:3">
      <c r="A15" s="149" t="s">
        <v>1566</v>
      </c>
      <c r="B15" s="150">
        <v>1</v>
      </c>
      <c r="C15" s="148"/>
    </row>
    <row r="16" ht="17.25" customHeight="1" spans="1:3">
      <c r="A16" s="149" t="s">
        <v>1567</v>
      </c>
      <c r="B16" s="150">
        <v>80</v>
      </c>
      <c r="C16" s="148"/>
    </row>
    <row r="17" ht="17.25" customHeight="1" spans="1:3">
      <c r="A17" s="149" t="s">
        <v>1568</v>
      </c>
      <c r="B17" s="150">
        <v>185</v>
      </c>
      <c r="C17" s="148"/>
    </row>
    <row r="18" ht="17.25" customHeight="1" spans="1:3">
      <c r="A18" s="149" t="s">
        <v>1569</v>
      </c>
      <c r="B18" s="150">
        <v>0</v>
      </c>
      <c r="C18" s="148"/>
    </row>
    <row r="19" ht="17.25" customHeight="1" spans="1:3">
      <c r="A19" s="149" t="s">
        <v>1570</v>
      </c>
      <c r="B19" s="150">
        <v>240</v>
      </c>
      <c r="C19" s="148"/>
    </row>
    <row r="20" ht="17.25" customHeight="1" spans="1:3">
      <c r="A20" s="149" t="s">
        <v>1571</v>
      </c>
      <c r="B20" s="150">
        <v>87</v>
      </c>
      <c r="C20" s="148"/>
    </row>
    <row r="21" ht="17.25" customHeight="1" spans="1:3">
      <c r="A21" s="149" t="s">
        <v>1572</v>
      </c>
      <c r="B21" s="150">
        <v>745</v>
      </c>
      <c r="C21" s="148"/>
    </row>
    <row r="22" ht="17.25" customHeight="1" spans="1:3">
      <c r="A22" s="146" t="s">
        <v>1573</v>
      </c>
      <c r="B22" s="147">
        <f>SUM(B23:B28)</f>
        <v>394</v>
      </c>
      <c r="C22" s="148"/>
    </row>
    <row r="23" ht="17.25" customHeight="1" spans="1:3">
      <c r="A23" s="149" t="s">
        <v>1574</v>
      </c>
      <c r="B23" s="150">
        <v>0</v>
      </c>
      <c r="C23" s="148"/>
    </row>
    <row r="24" ht="17.25" customHeight="1" spans="1:3">
      <c r="A24" s="149" t="s">
        <v>1575</v>
      </c>
      <c r="B24" s="150">
        <v>11</v>
      </c>
      <c r="C24" s="148"/>
    </row>
    <row r="25" ht="17.25" customHeight="1" spans="1:3">
      <c r="A25" s="149" t="s">
        <v>1576</v>
      </c>
      <c r="B25" s="150">
        <v>0</v>
      </c>
      <c r="C25" s="148"/>
    </row>
    <row r="26" ht="17.25" customHeight="1" spans="1:3">
      <c r="A26" s="149" t="s">
        <v>1577</v>
      </c>
      <c r="B26" s="150">
        <v>383</v>
      </c>
      <c r="C26" s="148"/>
    </row>
    <row r="27" ht="17.25" customHeight="1" spans="1:3">
      <c r="A27" s="149" t="s">
        <v>1578</v>
      </c>
      <c r="B27" s="150">
        <v>0</v>
      </c>
      <c r="C27" s="148"/>
    </row>
    <row r="28" ht="17.25" customHeight="1" spans="1:3">
      <c r="A28" s="149" t="s">
        <v>1579</v>
      </c>
      <c r="B28" s="150">
        <v>0</v>
      </c>
      <c r="C28" s="148"/>
    </row>
    <row r="29" ht="17.25" customHeight="1" spans="1:3">
      <c r="A29" s="146" t="s">
        <v>1580</v>
      </c>
      <c r="B29" s="147">
        <f>SUM(B30:B32)</f>
        <v>141784</v>
      </c>
      <c r="C29" s="148"/>
    </row>
    <row r="30" ht="17.25" customHeight="1" spans="1:3">
      <c r="A30" s="149" t="s">
        <v>1581</v>
      </c>
      <c r="B30" s="150">
        <f>7233+122612+2000</f>
        <v>131845</v>
      </c>
      <c r="C30" s="148"/>
    </row>
    <row r="31" ht="17.25" customHeight="1" spans="1:3">
      <c r="A31" s="149" t="s">
        <v>1582</v>
      </c>
      <c r="B31" s="150">
        <v>9939</v>
      </c>
      <c r="C31" s="148"/>
    </row>
    <row r="32" ht="17.25" customHeight="1" spans="1:3">
      <c r="A32" s="149" t="s">
        <v>1583</v>
      </c>
      <c r="B32" s="150">
        <v>0</v>
      </c>
      <c r="C32" s="148"/>
    </row>
    <row r="33" ht="17.25" customHeight="1" spans="1:3">
      <c r="A33" s="146" t="s">
        <v>1584</v>
      </c>
      <c r="B33" s="147">
        <f>SUM(B34:B35)</f>
        <v>962</v>
      </c>
      <c r="C33" s="148"/>
    </row>
    <row r="34" ht="17.25" customHeight="1" spans="1:3">
      <c r="A34" s="149" t="s">
        <v>1585</v>
      </c>
      <c r="B34" s="150">
        <v>962</v>
      </c>
      <c r="C34" s="148"/>
    </row>
    <row r="35" ht="17.25" customHeight="1" spans="1:3">
      <c r="A35" s="149" t="s">
        <v>1586</v>
      </c>
      <c r="B35" s="150">
        <v>0</v>
      </c>
      <c r="C35" s="148"/>
    </row>
    <row r="36" ht="17.25" customHeight="1" spans="1:3">
      <c r="A36" s="146" t="s">
        <v>1587</v>
      </c>
      <c r="B36" s="147">
        <f>SUM(B37:B41)</f>
        <v>148</v>
      </c>
      <c r="C36" s="148"/>
    </row>
    <row r="37" ht="17.25" customHeight="1" spans="1:3">
      <c r="A37" s="149" t="s">
        <v>1588</v>
      </c>
      <c r="B37" s="150"/>
      <c r="C37" s="148"/>
    </row>
    <row r="38" ht="17.25" customHeight="1" spans="1:3">
      <c r="A38" s="149" t="s">
        <v>1589</v>
      </c>
      <c r="B38" s="150">
        <v>0</v>
      </c>
      <c r="C38" s="148"/>
    </row>
    <row r="39" ht="17.25" customHeight="1" spans="1:3">
      <c r="A39" s="149" t="s">
        <v>1590</v>
      </c>
      <c r="B39" s="150">
        <v>0</v>
      </c>
      <c r="C39" s="148"/>
    </row>
    <row r="40" ht="17.25" customHeight="1" spans="1:3">
      <c r="A40" s="149" t="s">
        <v>1591</v>
      </c>
      <c r="B40" s="150">
        <v>80</v>
      </c>
      <c r="C40" s="148"/>
    </row>
    <row r="41" ht="17.25" customHeight="1" spans="1:3">
      <c r="A41" s="149" t="s">
        <v>1592</v>
      </c>
      <c r="B41" s="150">
        <v>68</v>
      </c>
      <c r="C41" s="148"/>
    </row>
  </sheetData>
  <mergeCells count="1">
    <mergeCell ref="A2:C2"/>
  </mergeCells>
  <pageMargins left="1.24" right="0.904861111111111" top="0.569444444444444" bottom="0.339583333333333" header="0.314583333333333" footer="0.314583333333333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selection activeCell="B3" sqref="B3"/>
    </sheetView>
  </sheetViews>
  <sheetFormatPr defaultColWidth="43.875" defaultRowHeight="14.25" outlineLevelCol="5"/>
  <cols>
    <col min="1" max="1" width="56.75" style="121" customWidth="1"/>
    <col min="2" max="2" width="27.25" style="121" customWidth="1"/>
    <col min="3" max="3" width="18.75" style="121" customWidth="1"/>
    <col min="4" max="16384" width="43.875" style="121"/>
  </cols>
  <sheetData>
    <row r="1" ht="13.5" spans="1:1">
      <c r="A1" s="122" t="s">
        <v>1593</v>
      </c>
    </row>
    <row r="2" ht="48.75" customHeight="1" spans="1:2">
      <c r="A2" s="123" t="s">
        <v>1594</v>
      </c>
      <c r="B2" s="123"/>
    </row>
    <row r="3" s="120" customFormat="1" ht="22.5" customHeight="1" spans="2:2">
      <c r="B3" s="124" t="s">
        <v>1595</v>
      </c>
    </row>
    <row r="4" s="120" customFormat="1" ht="38.25" customHeight="1" spans="1:2">
      <c r="A4" s="125" t="s">
        <v>1596</v>
      </c>
      <c r="B4" s="88" t="s">
        <v>513</v>
      </c>
    </row>
    <row r="5" s="120" customFormat="1" ht="30.75" customHeight="1" spans="1:2">
      <c r="A5" s="126" t="s">
        <v>1597</v>
      </c>
      <c r="B5" s="127"/>
    </row>
    <row r="6" s="120" customFormat="1" ht="30.75" customHeight="1" spans="1:2">
      <c r="A6" s="126" t="s">
        <v>1598</v>
      </c>
      <c r="B6" s="127"/>
    </row>
    <row r="7" s="120" customFormat="1" ht="30.75" customHeight="1" spans="1:2">
      <c r="A7" s="126" t="s">
        <v>1599</v>
      </c>
      <c r="B7" s="127"/>
    </row>
    <row r="8" s="120" customFormat="1" ht="30.75" customHeight="1" spans="1:2">
      <c r="A8" s="126" t="s">
        <v>1600</v>
      </c>
      <c r="B8" s="127"/>
    </row>
    <row r="9" s="120" customFormat="1" ht="30.75" customHeight="1" spans="1:2">
      <c r="A9" s="126" t="s">
        <v>1601</v>
      </c>
      <c r="B9" s="128">
        <f>SUM(B10:B14)</f>
        <v>100000</v>
      </c>
    </row>
    <row r="10" s="94" customFormat="1" ht="30.75" customHeight="1" spans="1:6">
      <c r="A10" s="129" t="s">
        <v>271</v>
      </c>
      <c r="B10" s="127">
        <v>80000</v>
      </c>
      <c r="C10" s="130"/>
      <c r="D10" s="131"/>
      <c r="E10" s="132"/>
      <c r="F10" s="132"/>
    </row>
    <row r="11" s="94" customFormat="1" ht="30.75" customHeight="1" spans="1:6">
      <c r="A11" s="129" t="s">
        <v>272</v>
      </c>
      <c r="B11" s="127"/>
      <c r="C11" s="130"/>
      <c r="D11" s="131"/>
      <c r="E11" s="132"/>
      <c r="F11" s="132"/>
    </row>
    <row r="12" s="94" customFormat="1" ht="30.75" customHeight="1" spans="1:6">
      <c r="A12" s="129" t="s">
        <v>273</v>
      </c>
      <c r="B12" s="127"/>
      <c r="C12" s="130"/>
      <c r="D12" s="131"/>
      <c r="E12" s="132"/>
      <c r="F12" s="132"/>
    </row>
    <row r="13" s="94" customFormat="1" ht="30.75" customHeight="1" spans="1:6">
      <c r="A13" s="129" t="s">
        <v>274</v>
      </c>
      <c r="B13" s="127"/>
      <c r="C13" s="130"/>
      <c r="D13" s="131"/>
      <c r="E13" s="132"/>
      <c r="F13" s="132"/>
    </row>
    <row r="14" s="94" customFormat="1" ht="30.75" customHeight="1" spans="1:6">
      <c r="A14" s="129" t="s">
        <v>275</v>
      </c>
      <c r="B14" s="127">
        <v>20000</v>
      </c>
      <c r="C14" s="130"/>
      <c r="D14" s="131"/>
      <c r="E14" s="132"/>
      <c r="F14" s="132"/>
    </row>
    <row r="15" s="94" customFormat="1" ht="30.75" customHeight="1" spans="1:6">
      <c r="A15" s="129" t="s">
        <v>1602</v>
      </c>
      <c r="B15" s="127"/>
      <c r="C15" s="130"/>
      <c r="D15" s="131"/>
      <c r="E15" s="132"/>
      <c r="F15" s="132"/>
    </row>
    <row r="16" s="120" customFormat="1" ht="30.75" customHeight="1" spans="1:2">
      <c r="A16" s="126" t="s">
        <v>1603</v>
      </c>
      <c r="B16" s="127"/>
    </row>
    <row r="17" s="120" customFormat="1" ht="30.75" customHeight="1" spans="1:2">
      <c r="A17" s="126" t="s">
        <v>1604</v>
      </c>
      <c r="B17" s="127"/>
    </row>
    <row r="18" s="120" customFormat="1" ht="30.75" customHeight="1" spans="1:2">
      <c r="A18" s="126" t="s">
        <v>1605</v>
      </c>
      <c r="B18" s="127">
        <v>1500</v>
      </c>
    </row>
    <row r="19" s="120" customFormat="1" ht="30.75" customHeight="1" spans="1:2">
      <c r="A19" s="126" t="s">
        <v>1606</v>
      </c>
      <c r="B19" s="127"/>
    </row>
    <row r="20" s="120" customFormat="1" ht="30.75" customHeight="1" spans="1:2">
      <c r="A20" s="126" t="s">
        <v>1607</v>
      </c>
      <c r="B20" s="127">
        <v>500</v>
      </c>
    </row>
    <row r="21" s="120" customFormat="1" ht="30.75" customHeight="1" spans="1:2">
      <c r="A21" s="126" t="s">
        <v>1608</v>
      </c>
      <c r="B21" s="127"/>
    </row>
    <row r="22" s="120" customFormat="1" ht="30.75" customHeight="1" spans="1:2">
      <c r="A22" s="126" t="s">
        <v>1609</v>
      </c>
      <c r="B22" s="133"/>
    </row>
    <row r="23" s="120" customFormat="1" ht="30.75" customHeight="1" spans="1:2">
      <c r="A23" s="134" t="s">
        <v>509</v>
      </c>
      <c r="B23" s="135">
        <f>SUM(B5:B22)-SUM(B10:B14)</f>
        <v>102000</v>
      </c>
    </row>
  </sheetData>
  <mergeCells count="1">
    <mergeCell ref="A2:B2"/>
  </mergeCells>
  <pageMargins left="0.904861111111111" right="0.169444444444444" top="0.984027777777778" bottom="0.519444444444444" header="0.314583333333333" footer="0.31458333333333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8"/>
  <sheetViews>
    <sheetView showZeros="0" workbookViewId="0">
      <selection activeCell="B3" sqref="B3"/>
    </sheetView>
  </sheetViews>
  <sheetFormatPr defaultColWidth="9.75" defaultRowHeight="14.25"/>
  <cols>
    <col min="1" max="1" width="52.5" style="92" customWidth="1"/>
    <col min="2" max="2" width="29" style="93" customWidth="1"/>
    <col min="3" max="16384" width="9.75" style="94"/>
  </cols>
  <sheetData>
    <row r="1" s="89" customFormat="1" ht="21" customHeight="1" spans="1:256">
      <c r="A1" s="95" t="s">
        <v>1610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="89" customFormat="1" ht="33.6" customHeight="1" spans="1:256">
      <c r="A2" s="98" t="s">
        <v>1611</v>
      </c>
      <c r="B2" s="99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</row>
    <row r="3" s="89" customFormat="1" ht="21" customHeight="1" spans="1:256">
      <c r="A3" s="100"/>
      <c r="B3" s="101" t="s">
        <v>1612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="89" customFormat="1" ht="21.75" customHeight="1" spans="1:256">
      <c r="A4" s="102" t="s">
        <v>1596</v>
      </c>
      <c r="B4" s="103" t="s">
        <v>513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="90" customFormat="1" ht="21.75" customHeight="1" spans="1:256">
      <c r="A5" s="104" t="s">
        <v>1613</v>
      </c>
      <c r="B5" s="105">
        <f>SUM(B6:B7)</f>
        <v>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="90" customFormat="1" ht="21.75" customHeight="1" spans="1:256">
      <c r="A6" s="107" t="s">
        <v>314</v>
      </c>
      <c r="B6" s="108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="90" customFormat="1" ht="21.75" customHeight="1" spans="1:256">
      <c r="A7" s="107" t="s">
        <v>319</v>
      </c>
      <c r="B7" s="108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="90" customFormat="1" ht="21.75" customHeight="1" spans="1:256">
      <c r="A8" s="104" t="s">
        <v>1614</v>
      </c>
      <c r="B8" s="105">
        <f>B9</f>
        <v>289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="90" customFormat="1" ht="21.75" customHeight="1" spans="1:256">
      <c r="A9" s="107" t="s">
        <v>329</v>
      </c>
      <c r="B9" s="108">
        <v>289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="90" customFormat="1" ht="21.75" customHeight="1" spans="1:256">
      <c r="A10" s="107" t="s">
        <v>1615</v>
      </c>
      <c r="B10" s="108">
        <v>96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="90" customFormat="1" ht="21.75" customHeight="1" spans="1:256">
      <c r="A11" s="107" t="s">
        <v>1616</v>
      </c>
      <c r="B11" s="108">
        <v>193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="90" customFormat="1" ht="21.75" customHeight="1" spans="1:256">
      <c r="A12" s="107" t="s">
        <v>333</v>
      </c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="90" customFormat="1" ht="21.75" customHeight="1" spans="1:256">
      <c r="A13" s="104" t="s">
        <v>1617</v>
      </c>
      <c r="B13" s="108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="91" customFormat="1" ht="21.75" customHeight="1" spans="1:256">
      <c r="A14" s="104" t="s">
        <v>1618</v>
      </c>
      <c r="B14" s="109">
        <f>B15+B22+B26</f>
        <v>93175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="90" customFormat="1" ht="21.75" customHeight="1" spans="1:256">
      <c r="A15" s="111" t="s">
        <v>349</v>
      </c>
      <c r="B15" s="112">
        <f>50000-3925-900+50000-4000</f>
        <v>91175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="90" customFormat="1" ht="21.75" customHeight="1" spans="1:256">
      <c r="A16" s="111" t="s">
        <v>350</v>
      </c>
      <c r="B16" s="112">
        <v>21175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="90" customFormat="1" ht="21.75" customHeight="1" spans="1:256">
      <c r="A17" s="111" t="s">
        <v>351</v>
      </c>
      <c r="B17" s="112">
        <v>15000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="90" customFormat="1" ht="21.75" customHeight="1" spans="1:256">
      <c r="A18" s="111" t="s">
        <v>352</v>
      </c>
      <c r="B18" s="112">
        <v>30000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="90" customFormat="1" ht="21.75" customHeight="1" spans="1:256">
      <c r="A19" s="111" t="s">
        <v>361</v>
      </c>
      <c r="B19" s="112">
        <v>25000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="90" customFormat="1" ht="21.75" customHeight="1" spans="1:256">
      <c r="A20" s="111" t="s">
        <v>1619</v>
      </c>
      <c r="B20" s="112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</row>
    <row r="21" s="90" customFormat="1" ht="21.75" customHeight="1" spans="1:256">
      <c r="A21" s="111" t="s">
        <v>364</v>
      </c>
      <c r="B21" s="112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</row>
    <row r="22" s="90" customFormat="1" ht="21.75" customHeight="1" spans="1:256">
      <c r="A22" s="111" t="s">
        <v>365</v>
      </c>
      <c r="B22" s="112">
        <v>1500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</row>
    <row r="23" s="90" customFormat="1" ht="21.75" customHeight="1" spans="1:256">
      <c r="A23" s="111" t="s">
        <v>1620</v>
      </c>
      <c r="B23" s="112">
        <v>600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</row>
    <row r="24" s="90" customFormat="1" ht="21.75" customHeight="1" spans="1:256">
      <c r="A24" s="111" t="s">
        <v>1621</v>
      </c>
      <c r="B24" s="112">
        <v>400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</row>
    <row r="25" s="90" customFormat="1" ht="21.75" customHeight="1" spans="1:256">
      <c r="A25" s="111" t="s">
        <v>1622</v>
      </c>
      <c r="B25" s="112">
        <v>500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</row>
    <row r="26" s="90" customFormat="1" ht="21.75" customHeight="1" spans="1:256">
      <c r="A26" s="111" t="s">
        <v>371</v>
      </c>
      <c r="B26" s="112">
        <v>500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</row>
    <row r="27" s="90" customFormat="1" ht="21.75" customHeight="1" spans="1:256">
      <c r="A27" s="111" t="s">
        <v>1623</v>
      </c>
      <c r="B27" s="112">
        <v>500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</row>
    <row r="28" s="90" customFormat="1" ht="21.75" customHeight="1" spans="1:256">
      <c r="A28" s="111" t="s">
        <v>1624</v>
      </c>
      <c r="B28" s="112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</row>
    <row r="29" s="90" customFormat="1" ht="21.75" customHeight="1" spans="1:256">
      <c r="A29" s="111" t="s">
        <v>1625</v>
      </c>
      <c r="B29" s="112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="91" customFormat="1" ht="21.75" customHeight="1" spans="1:256">
      <c r="A30" s="113" t="s">
        <v>1626</v>
      </c>
      <c r="B30" s="109">
        <f>B31</f>
        <v>0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  <c r="IT30" s="119"/>
      <c r="IU30" s="119"/>
      <c r="IV30" s="119"/>
    </row>
    <row r="31" s="90" customFormat="1" ht="21.75" customHeight="1" spans="1:256">
      <c r="A31" s="114" t="s">
        <v>380</v>
      </c>
      <c r="B31" s="108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</row>
    <row r="32" s="91" customFormat="1" ht="21.75" customHeight="1" spans="1:256">
      <c r="A32" s="115" t="s">
        <v>1627</v>
      </c>
      <c r="B32" s="109">
        <f>B33+B34</f>
        <v>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  <c r="IT32" s="119"/>
      <c r="IU32" s="119"/>
      <c r="IV32" s="119"/>
    </row>
    <row r="33" s="90" customFormat="1" ht="21.75" customHeight="1" spans="1:256">
      <c r="A33" s="114" t="s">
        <v>1628</v>
      </c>
      <c r="B33" s="108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</row>
    <row r="34" s="90" customFormat="1" ht="21.75" customHeight="1" spans="1:256">
      <c r="A34" s="114" t="s">
        <v>1629</v>
      </c>
      <c r="B34" s="108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</row>
    <row r="35" s="91" customFormat="1" ht="21.75" customHeight="1" spans="1:256">
      <c r="A35" s="115" t="s">
        <v>1630</v>
      </c>
      <c r="B35" s="116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9"/>
      <c r="FM35" s="119"/>
      <c r="FN35" s="119"/>
      <c r="FO35" s="119"/>
      <c r="FP35" s="119"/>
      <c r="FQ35" s="119"/>
      <c r="FR35" s="119"/>
      <c r="FS35" s="119"/>
      <c r="FT35" s="119"/>
      <c r="FU35" s="119"/>
      <c r="FV35" s="119"/>
      <c r="FW35" s="119"/>
      <c r="FX35" s="119"/>
      <c r="FY35" s="119"/>
      <c r="FZ35" s="119"/>
      <c r="GA35" s="119"/>
      <c r="GB35" s="119"/>
      <c r="GC35" s="119"/>
      <c r="GD35" s="119"/>
      <c r="GE35" s="119"/>
      <c r="GF35" s="119"/>
      <c r="GG35" s="119"/>
      <c r="GH35" s="119"/>
      <c r="GI35" s="119"/>
      <c r="GJ35" s="119"/>
      <c r="GK35" s="119"/>
      <c r="GL35" s="119"/>
      <c r="GM35" s="119"/>
      <c r="GN35" s="119"/>
      <c r="GO35" s="119"/>
      <c r="GP35" s="119"/>
      <c r="GQ35" s="119"/>
      <c r="GR35" s="119"/>
      <c r="GS35" s="119"/>
      <c r="GT35" s="119"/>
      <c r="GU35" s="119"/>
      <c r="GV35" s="119"/>
      <c r="GW35" s="119"/>
      <c r="GX35" s="119"/>
      <c r="GY35" s="119"/>
      <c r="GZ35" s="119"/>
      <c r="HA35" s="119"/>
      <c r="HB35" s="119"/>
      <c r="HC35" s="119"/>
      <c r="HD35" s="119"/>
      <c r="HE35" s="119"/>
      <c r="HF35" s="119"/>
      <c r="HG35" s="119"/>
      <c r="HH35" s="119"/>
      <c r="HI35" s="119"/>
      <c r="HJ35" s="119"/>
      <c r="HK35" s="119"/>
      <c r="HL35" s="119"/>
      <c r="HM35" s="119"/>
      <c r="HN35" s="119"/>
      <c r="HO35" s="119"/>
      <c r="HP35" s="119"/>
      <c r="HQ35" s="119"/>
      <c r="HR35" s="119"/>
      <c r="HS35" s="119"/>
      <c r="HT35" s="119"/>
      <c r="HU35" s="119"/>
      <c r="HV35" s="119"/>
      <c r="HW35" s="119"/>
      <c r="HX35" s="119"/>
      <c r="HY35" s="119"/>
      <c r="HZ35" s="119"/>
      <c r="IA35" s="119"/>
      <c r="IB35" s="119"/>
      <c r="IC35" s="119"/>
      <c r="ID35" s="119"/>
      <c r="IE35" s="119"/>
      <c r="IF35" s="119"/>
      <c r="IG35" s="119"/>
      <c r="IH35" s="119"/>
      <c r="II35" s="119"/>
      <c r="IJ35" s="119"/>
      <c r="IK35" s="119"/>
      <c r="IL35" s="119"/>
      <c r="IM35" s="119"/>
      <c r="IN35" s="119"/>
      <c r="IO35" s="119"/>
      <c r="IP35" s="119"/>
      <c r="IQ35" s="119"/>
      <c r="IR35" s="119"/>
      <c r="IS35" s="119"/>
      <c r="IT35" s="119"/>
      <c r="IU35" s="119"/>
      <c r="IV35" s="119"/>
    </row>
    <row r="36" s="91" customFormat="1" ht="21.75" customHeight="1" spans="1:256">
      <c r="A36" s="115" t="s">
        <v>1631</v>
      </c>
      <c r="B36" s="116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9"/>
      <c r="FM36" s="119"/>
      <c r="FN36" s="119"/>
      <c r="FO36" s="119"/>
      <c r="FP36" s="119"/>
      <c r="FQ36" s="119"/>
      <c r="FR36" s="119"/>
      <c r="FS36" s="119"/>
      <c r="FT36" s="119"/>
      <c r="FU36" s="119"/>
      <c r="FV36" s="119"/>
      <c r="FW36" s="119"/>
      <c r="FX36" s="119"/>
      <c r="FY36" s="119"/>
      <c r="FZ36" s="119"/>
      <c r="GA36" s="119"/>
      <c r="GB36" s="119"/>
      <c r="GC36" s="119"/>
      <c r="GD36" s="119"/>
      <c r="GE36" s="119"/>
      <c r="GF36" s="119"/>
      <c r="GG36" s="119"/>
      <c r="GH36" s="119"/>
      <c r="GI36" s="119"/>
      <c r="GJ36" s="119"/>
      <c r="GK36" s="119"/>
      <c r="GL36" s="119"/>
      <c r="GM36" s="119"/>
      <c r="GN36" s="119"/>
      <c r="GO36" s="119"/>
      <c r="GP36" s="119"/>
      <c r="GQ36" s="119"/>
      <c r="GR36" s="119"/>
      <c r="GS36" s="119"/>
      <c r="GT36" s="119"/>
      <c r="GU36" s="119"/>
      <c r="GV36" s="119"/>
      <c r="GW36" s="119"/>
      <c r="GX36" s="119"/>
      <c r="GY36" s="119"/>
      <c r="GZ36" s="119"/>
      <c r="HA36" s="119"/>
      <c r="HB36" s="119"/>
      <c r="HC36" s="119"/>
      <c r="HD36" s="119"/>
      <c r="HE36" s="119"/>
      <c r="HF36" s="119"/>
      <c r="HG36" s="119"/>
      <c r="HH36" s="119"/>
      <c r="HI36" s="119"/>
      <c r="HJ36" s="119"/>
      <c r="HK36" s="119"/>
      <c r="HL36" s="119"/>
      <c r="HM36" s="119"/>
      <c r="HN36" s="119"/>
      <c r="HO36" s="119"/>
      <c r="HP36" s="119"/>
      <c r="HQ36" s="119"/>
      <c r="HR36" s="119"/>
      <c r="HS36" s="119"/>
      <c r="HT36" s="119"/>
      <c r="HU36" s="119"/>
      <c r="HV36" s="119"/>
      <c r="HW36" s="119"/>
      <c r="HX36" s="119"/>
      <c r="HY36" s="119"/>
      <c r="HZ36" s="119"/>
      <c r="IA36" s="119"/>
      <c r="IB36" s="119"/>
      <c r="IC36" s="119"/>
      <c r="ID36" s="119"/>
      <c r="IE36" s="119"/>
      <c r="IF36" s="119"/>
      <c r="IG36" s="119"/>
      <c r="IH36" s="119"/>
      <c r="II36" s="119"/>
      <c r="IJ36" s="119"/>
      <c r="IK36" s="119"/>
      <c r="IL36" s="119"/>
      <c r="IM36" s="119"/>
      <c r="IN36" s="119"/>
      <c r="IO36" s="119"/>
      <c r="IP36" s="119"/>
      <c r="IQ36" s="119"/>
      <c r="IR36" s="119"/>
      <c r="IS36" s="119"/>
      <c r="IT36" s="119"/>
      <c r="IU36" s="119"/>
      <c r="IV36" s="119"/>
    </row>
    <row r="37" s="91" customFormat="1" ht="21.75" customHeight="1" spans="1:256">
      <c r="A37" s="115" t="s">
        <v>1632</v>
      </c>
      <c r="B37" s="109">
        <f>B38+B39</f>
        <v>1495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9"/>
      <c r="FM37" s="119"/>
      <c r="FN37" s="119"/>
      <c r="FO37" s="119"/>
      <c r="FP37" s="119"/>
      <c r="FQ37" s="119"/>
      <c r="FR37" s="119"/>
      <c r="FS37" s="119"/>
      <c r="FT37" s="119"/>
      <c r="FU37" s="119"/>
      <c r="FV37" s="119"/>
      <c r="FW37" s="119"/>
      <c r="FX37" s="119"/>
      <c r="FY37" s="119"/>
      <c r="FZ37" s="119"/>
      <c r="GA37" s="119"/>
      <c r="GB37" s="119"/>
      <c r="GC37" s="119"/>
      <c r="GD37" s="119"/>
      <c r="GE37" s="119"/>
      <c r="GF37" s="119"/>
      <c r="GG37" s="119"/>
      <c r="GH37" s="119"/>
      <c r="GI37" s="119"/>
      <c r="GJ37" s="119"/>
      <c r="GK37" s="119"/>
      <c r="GL37" s="119"/>
      <c r="GM37" s="119"/>
      <c r="GN37" s="119"/>
      <c r="GO37" s="119"/>
      <c r="GP37" s="119"/>
      <c r="GQ37" s="119"/>
      <c r="GR37" s="119"/>
      <c r="GS37" s="119"/>
      <c r="GT37" s="119"/>
      <c r="GU37" s="119"/>
      <c r="GV37" s="119"/>
      <c r="GW37" s="119"/>
      <c r="GX37" s="119"/>
      <c r="GY37" s="119"/>
      <c r="GZ37" s="119"/>
      <c r="HA37" s="119"/>
      <c r="HB37" s="119"/>
      <c r="HC37" s="119"/>
      <c r="HD37" s="119"/>
      <c r="HE37" s="119"/>
      <c r="HF37" s="119"/>
      <c r="HG37" s="119"/>
      <c r="HH37" s="119"/>
      <c r="HI37" s="119"/>
      <c r="HJ37" s="119"/>
      <c r="HK37" s="119"/>
      <c r="HL37" s="119"/>
      <c r="HM37" s="119"/>
      <c r="HN37" s="119"/>
      <c r="HO37" s="119"/>
      <c r="HP37" s="119"/>
      <c r="HQ37" s="119"/>
      <c r="HR37" s="119"/>
      <c r="HS37" s="119"/>
      <c r="HT37" s="119"/>
      <c r="HU37" s="119"/>
      <c r="HV37" s="119"/>
      <c r="HW37" s="119"/>
      <c r="HX37" s="119"/>
      <c r="HY37" s="119"/>
      <c r="HZ37" s="119"/>
      <c r="IA37" s="119"/>
      <c r="IB37" s="119"/>
      <c r="IC37" s="119"/>
      <c r="ID37" s="119"/>
      <c r="IE37" s="119"/>
      <c r="IF37" s="119"/>
      <c r="IG37" s="119"/>
      <c r="IH37" s="119"/>
      <c r="II37" s="119"/>
      <c r="IJ37" s="119"/>
      <c r="IK37" s="119"/>
      <c r="IL37" s="119"/>
      <c r="IM37" s="119"/>
      <c r="IN37" s="119"/>
      <c r="IO37" s="119"/>
      <c r="IP37" s="119"/>
      <c r="IQ37" s="119"/>
      <c r="IR37" s="119"/>
      <c r="IS37" s="119"/>
      <c r="IT37" s="119"/>
      <c r="IU37" s="119"/>
      <c r="IV37" s="119"/>
    </row>
    <row r="38" s="90" customFormat="1" ht="21.75" customHeight="1" spans="1:256">
      <c r="A38" s="114" t="s">
        <v>1633</v>
      </c>
      <c r="B38" s="108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</row>
    <row r="39" s="90" customFormat="1" ht="21.75" customHeight="1" spans="1:256">
      <c r="A39" s="114" t="s">
        <v>405</v>
      </c>
      <c r="B39" s="108">
        <v>1495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</row>
    <row r="40" s="90" customFormat="1" ht="21.75" customHeight="1" spans="1:256">
      <c r="A40" s="114" t="s">
        <v>1634</v>
      </c>
      <c r="B40" s="108">
        <v>167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</row>
    <row r="41" s="90" customFormat="1" ht="21.75" customHeight="1" spans="1:256">
      <c r="A41" s="114" t="s">
        <v>1635</v>
      </c>
      <c r="B41" s="108">
        <v>328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</row>
    <row r="42" s="90" customFormat="1" ht="21.75" customHeight="1" spans="1:256">
      <c r="A42" s="114" t="s">
        <v>1636</v>
      </c>
      <c r="B42" s="108">
        <v>1000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</row>
    <row r="43" s="91" customFormat="1" ht="21.75" customHeight="1" spans="1:256">
      <c r="A43" s="115" t="s">
        <v>1637</v>
      </c>
      <c r="B43" s="109">
        <v>3925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9"/>
      <c r="FM43" s="119"/>
      <c r="FN43" s="119"/>
      <c r="FO43" s="119"/>
      <c r="FP43" s="119"/>
      <c r="FQ43" s="119"/>
      <c r="FR43" s="119"/>
      <c r="FS43" s="119"/>
      <c r="FT43" s="119"/>
      <c r="FU43" s="119"/>
      <c r="FV43" s="119"/>
      <c r="FW43" s="119"/>
      <c r="FX43" s="119"/>
      <c r="FY43" s="119"/>
      <c r="FZ43" s="119"/>
      <c r="GA43" s="119"/>
      <c r="GB43" s="119"/>
      <c r="GC43" s="119"/>
      <c r="GD43" s="119"/>
      <c r="GE43" s="119"/>
      <c r="GF43" s="119"/>
      <c r="GG43" s="119"/>
      <c r="GH43" s="119"/>
      <c r="GI43" s="119"/>
      <c r="GJ43" s="119"/>
      <c r="GK43" s="119"/>
      <c r="GL43" s="119"/>
      <c r="GM43" s="119"/>
      <c r="GN43" s="119"/>
      <c r="GO43" s="119"/>
      <c r="GP43" s="119"/>
      <c r="GQ43" s="119"/>
      <c r="GR43" s="119"/>
      <c r="GS43" s="119"/>
      <c r="GT43" s="119"/>
      <c r="GU43" s="119"/>
      <c r="GV43" s="119"/>
      <c r="GW43" s="119"/>
      <c r="GX43" s="119"/>
      <c r="GY43" s="119"/>
      <c r="GZ43" s="119"/>
      <c r="HA43" s="119"/>
      <c r="HB43" s="119"/>
      <c r="HC43" s="119"/>
      <c r="HD43" s="119"/>
      <c r="HE43" s="119"/>
      <c r="HF43" s="119"/>
      <c r="HG43" s="119"/>
      <c r="HH43" s="119"/>
      <c r="HI43" s="119"/>
      <c r="HJ43" s="119"/>
      <c r="HK43" s="119"/>
      <c r="HL43" s="119"/>
      <c r="HM43" s="119"/>
      <c r="HN43" s="119"/>
      <c r="HO43" s="119"/>
      <c r="HP43" s="119"/>
      <c r="HQ43" s="119"/>
      <c r="HR43" s="119"/>
      <c r="HS43" s="119"/>
      <c r="HT43" s="119"/>
      <c r="HU43" s="119"/>
      <c r="HV43" s="119"/>
      <c r="HW43" s="119"/>
      <c r="HX43" s="119"/>
      <c r="HY43" s="119"/>
      <c r="HZ43" s="119"/>
      <c r="IA43" s="119"/>
      <c r="IB43" s="119"/>
      <c r="IC43" s="119"/>
      <c r="ID43" s="119"/>
      <c r="IE43" s="119"/>
      <c r="IF43" s="119"/>
      <c r="IG43" s="119"/>
      <c r="IH43" s="119"/>
      <c r="II43" s="119"/>
      <c r="IJ43" s="119"/>
      <c r="IK43" s="119"/>
      <c r="IL43" s="119"/>
      <c r="IM43" s="119"/>
      <c r="IN43" s="119"/>
      <c r="IO43" s="119"/>
      <c r="IP43" s="119"/>
      <c r="IQ43" s="119"/>
      <c r="IR43" s="119"/>
      <c r="IS43" s="119"/>
      <c r="IT43" s="119"/>
      <c r="IU43" s="119"/>
      <c r="IV43" s="119"/>
    </row>
    <row r="44" s="91" customFormat="1" ht="21.75" customHeight="1" spans="1:256">
      <c r="A44" s="114" t="s">
        <v>418</v>
      </c>
      <c r="B44" s="108">
        <v>3925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9"/>
      <c r="FM44" s="119"/>
      <c r="FN44" s="119"/>
      <c r="FO44" s="119"/>
      <c r="FP44" s="119"/>
      <c r="FQ44" s="119"/>
      <c r="FR44" s="119"/>
      <c r="FS44" s="119"/>
      <c r="FT44" s="119"/>
      <c r="FU44" s="119"/>
      <c r="FV44" s="119"/>
      <c r="FW44" s="119"/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O44" s="119"/>
      <c r="GP44" s="119"/>
      <c r="GQ44" s="119"/>
      <c r="GR44" s="119"/>
      <c r="GS44" s="119"/>
      <c r="GT44" s="119"/>
      <c r="GU44" s="119"/>
      <c r="GV44" s="119"/>
      <c r="GW44" s="119"/>
      <c r="GX44" s="119"/>
      <c r="GY44" s="119"/>
      <c r="GZ44" s="119"/>
      <c r="HA44" s="119"/>
      <c r="HB44" s="119"/>
      <c r="HC44" s="119"/>
      <c r="HD44" s="119"/>
      <c r="HE44" s="119"/>
      <c r="HF44" s="119"/>
      <c r="HG44" s="119"/>
      <c r="HH44" s="119"/>
      <c r="HI44" s="119"/>
      <c r="HJ44" s="119"/>
      <c r="HK44" s="119"/>
      <c r="HL44" s="119"/>
      <c r="HM44" s="119"/>
      <c r="HN44" s="119"/>
      <c r="HO44" s="119"/>
      <c r="HP44" s="119"/>
      <c r="HQ44" s="119"/>
      <c r="HR44" s="119"/>
      <c r="HS44" s="119"/>
      <c r="HT44" s="119"/>
      <c r="HU44" s="119"/>
      <c r="HV44" s="119"/>
      <c r="HW44" s="119"/>
      <c r="HX44" s="119"/>
      <c r="HY44" s="119"/>
      <c r="HZ44" s="119"/>
      <c r="IA44" s="119"/>
      <c r="IB44" s="119"/>
      <c r="IC44" s="119"/>
      <c r="ID44" s="119"/>
      <c r="IE44" s="119"/>
      <c r="IF44" s="119"/>
      <c r="IG44" s="119"/>
      <c r="IH44" s="119"/>
      <c r="II44" s="119"/>
      <c r="IJ44" s="119"/>
      <c r="IK44" s="119"/>
      <c r="IL44" s="119"/>
      <c r="IM44" s="119"/>
      <c r="IN44" s="119"/>
      <c r="IO44" s="119"/>
      <c r="IP44" s="119"/>
      <c r="IQ44" s="119"/>
      <c r="IR44" s="119"/>
      <c r="IS44" s="119"/>
      <c r="IT44" s="119"/>
      <c r="IU44" s="119"/>
      <c r="IV44" s="119"/>
    </row>
    <row r="45" s="91" customFormat="1" ht="21.75" customHeight="1" spans="1:256">
      <c r="A45" s="114" t="s">
        <v>1638</v>
      </c>
      <c r="B45" s="108">
        <v>2551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O45" s="119"/>
      <c r="GP45" s="119"/>
      <c r="GQ45" s="119"/>
      <c r="GR45" s="119"/>
      <c r="GS45" s="119"/>
      <c r="GT45" s="119"/>
      <c r="GU45" s="119"/>
      <c r="GV45" s="119"/>
      <c r="GW45" s="119"/>
      <c r="GX45" s="119"/>
      <c r="GY45" s="119"/>
      <c r="GZ45" s="119"/>
      <c r="HA45" s="119"/>
      <c r="HB45" s="119"/>
      <c r="HC45" s="119"/>
      <c r="HD45" s="119"/>
      <c r="HE45" s="119"/>
      <c r="HF45" s="119"/>
      <c r="HG45" s="119"/>
      <c r="HH45" s="119"/>
      <c r="HI45" s="119"/>
      <c r="HJ45" s="119"/>
      <c r="HK45" s="119"/>
      <c r="HL45" s="119"/>
      <c r="HM45" s="119"/>
      <c r="HN45" s="119"/>
      <c r="HO45" s="119"/>
      <c r="HP45" s="119"/>
      <c r="HQ45" s="119"/>
      <c r="HR45" s="119"/>
      <c r="HS45" s="119"/>
      <c r="HT45" s="119"/>
      <c r="HU45" s="119"/>
      <c r="HV45" s="119"/>
      <c r="HW45" s="119"/>
      <c r="HX45" s="119"/>
      <c r="HY45" s="119"/>
      <c r="HZ45" s="119"/>
      <c r="IA45" s="119"/>
      <c r="IB45" s="119"/>
      <c r="IC45" s="119"/>
      <c r="ID45" s="119"/>
      <c r="IE45" s="119"/>
      <c r="IF45" s="119"/>
      <c r="IG45" s="119"/>
      <c r="IH45" s="119"/>
      <c r="II45" s="119"/>
      <c r="IJ45" s="119"/>
      <c r="IK45" s="119"/>
      <c r="IL45" s="119"/>
      <c r="IM45" s="119"/>
      <c r="IN45" s="119"/>
      <c r="IO45" s="119"/>
      <c r="IP45" s="119"/>
      <c r="IQ45" s="119"/>
      <c r="IR45" s="119"/>
      <c r="IS45" s="119"/>
      <c r="IT45" s="119"/>
      <c r="IU45" s="119"/>
      <c r="IV45" s="119"/>
    </row>
    <row r="46" s="91" customFormat="1" ht="21.75" customHeight="1" spans="1:256">
      <c r="A46" s="114" t="s">
        <v>1639</v>
      </c>
      <c r="B46" s="108">
        <v>1374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9"/>
      <c r="FM46" s="119"/>
      <c r="FN46" s="119"/>
      <c r="FO46" s="119"/>
      <c r="FP46" s="119"/>
      <c r="FQ46" s="119"/>
      <c r="FR46" s="119"/>
      <c r="FS46" s="119"/>
      <c r="FT46" s="119"/>
      <c r="FU46" s="119"/>
      <c r="FV46" s="119"/>
      <c r="FW46" s="119"/>
      <c r="FX46" s="119"/>
      <c r="FY46" s="119"/>
      <c r="FZ46" s="119"/>
      <c r="GA46" s="119"/>
      <c r="GB46" s="119"/>
      <c r="GC46" s="119"/>
      <c r="GD46" s="119"/>
      <c r="GE46" s="119"/>
      <c r="GF46" s="119"/>
      <c r="GG46" s="119"/>
      <c r="GH46" s="119"/>
      <c r="GI46" s="119"/>
      <c r="GJ46" s="119"/>
      <c r="GK46" s="119"/>
      <c r="GL46" s="119"/>
      <c r="GM46" s="119"/>
      <c r="GN46" s="119"/>
      <c r="GO46" s="119"/>
      <c r="GP46" s="119"/>
      <c r="GQ46" s="119"/>
      <c r="GR46" s="119"/>
      <c r="GS46" s="119"/>
      <c r="GT46" s="119"/>
      <c r="GU46" s="119"/>
      <c r="GV46" s="119"/>
      <c r="GW46" s="119"/>
      <c r="GX46" s="119"/>
      <c r="GY46" s="119"/>
      <c r="GZ46" s="119"/>
      <c r="HA46" s="119"/>
      <c r="HB46" s="119"/>
      <c r="HC46" s="119"/>
      <c r="HD46" s="119"/>
      <c r="HE46" s="119"/>
      <c r="HF46" s="119"/>
      <c r="HG46" s="119"/>
      <c r="HH46" s="119"/>
      <c r="HI46" s="119"/>
      <c r="HJ46" s="119"/>
      <c r="HK46" s="119"/>
      <c r="HL46" s="119"/>
      <c r="HM46" s="119"/>
      <c r="HN46" s="119"/>
      <c r="HO46" s="119"/>
      <c r="HP46" s="119"/>
      <c r="HQ46" s="119"/>
      <c r="HR46" s="119"/>
      <c r="HS46" s="119"/>
      <c r="HT46" s="119"/>
      <c r="HU46" s="119"/>
      <c r="HV46" s="119"/>
      <c r="HW46" s="119"/>
      <c r="HX46" s="119"/>
      <c r="HY46" s="119"/>
      <c r="HZ46" s="119"/>
      <c r="IA46" s="119"/>
      <c r="IB46" s="119"/>
      <c r="IC46" s="119"/>
      <c r="ID46" s="119"/>
      <c r="IE46" s="119"/>
      <c r="IF46" s="119"/>
      <c r="IG46" s="119"/>
      <c r="IH46" s="119"/>
      <c r="II46" s="119"/>
      <c r="IJ46" s="119"/>
      <c r="IK46" s="119"/>
      <c r="IL46" s="119"/>
      <c r="IM46" s="119"/>
      <c r="IN46" s="119"/>
      <c r="IO46" s="119"/>
      <c r="IP46" s="119"/>
      <c r="IQ46" s="119"/>
      <c r="IR46" s="119"/>
      <c r="IS46" s="119"/>
      <c r="IT46" s="119"/>
      <c r="IU46" s="119"/>
      <c r="IV46" s="119"/>
    </row>
    <row r="47" s="91" customFormat="1" ht="21.75" customHeight="1" spans="1:256">
      <c r="A47" s="115" t="s">
        <v>1640</v>
      </c>
      <c r="B47" s="116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9"/>
      <c r="FM47" s="119"/>
      <c r="FN47" s="119"/>
      <c r="FO47" s="119"/>
      <c r="FP47" s="119"/>
      <c r="FQ47" s="119"/>
      <c r="FR47" s="119"/>
      <c r="FS47" s="119"/>
      <c r="FT47" s="119"/>
      <c r="FU47" s="119"/>
      <c r="FV47" s="119"/>
      <c r="FW47" s="119"/>
      <c r="FX47" s="119"/>
      <c r="FY47" s="119"/>
      <c r="FZ47" s="119"/>
      <c r="GA47" s="119"/>
      <c r="GB47" s="119"/>
      <c r="GC47" s="119"/>
      <c r="GD47" s="119"/>
      <c r="GE47" s="119"/>
      <c r="GF47" s="119"/>
      <c r="GG47" s="119"/>
      <c r="GH47" s="119"/>
      <c r="GI47" s="119"/>
      <c r="GJ47" s="119"/>
      <c r="GK47" s="119"/>
      <c r="GL47" s="119"/>
      <c r="GM47" s="119"/>
      <c r="GN47" s="119"/>
      <c r="GO47" s="119"/>
      <c r="GP47" s="119"/>
      <c r="GQ47" s="119"/>
      <c r="GR47" s="119"/>
      <c r="GS47" s="119"/>
      <c r="GT47" s="119"/>
      <c r="GU47" s="119"/>
      <c r="GV47" s="119"/>
      <c r="GW47" s="119"/>
      <c r="GX47" s="119"/>
      <c r="GY47" s="119"/>
      <c r="GZ47" s="119"/>
      <c r="HA47" s="119"/>
      <c r="HB47" s="119"/>
      <c r="HC47" s="119"/>
      <c r="HD47" s="119"/>
      <c r="HE47" s="119"/>
      <c r="HF47" s="119"/>
      <c r="HG47" s="119"/>
      <c r="HH47" s="119"/>
      <c r="HI47" s="119"/>
      <c r="HJ47" s="119"/>
      <c r="HK47" s="119"/>
      <c r="HL47" s="119"/>
      <c r="HM47" s="119"/>
      <c r="HN47" s="119"/>
      <c r="HO47" s="119"/>
      <c r="HP47" s="119"/>
      <c r="HQ47" s="119"/>
      <c r="HR47" s="119"/>
      <c r="HS47" s="119"/>
      <c r="HT47" s="119"/>
      <c r="HU47" s="119"/>
      <c r="HV47" s="119"/>
      <c r="HW47" s="119"/>
      <c r="HX47" s="119"/>
      <c r="HY47" s="119"/>
      <c r="HZ47" s="119"/>
      <c r="IA47" s="119"/>
      <c r="IB47" s="119"/>
      <c r="IC47" s="119"/>
      <c r="ID47" s="119"/>
      <c r="IE47" s="119"/>
      <c r="IF47" s="119"/>
      <c r="IG47" s="119"/>
      <c r="IH47" s="119"/>
      <c r="II47" s="119"/>
      <c r="IJ47" s="119"/>
      <c r="IK47" s="119"/>
      <c r="IL47" s="119"/>
      <c r="IM47" s="119"/>
      <c r="IN47" s="119"/>
      <c r="IO47" s="119"/>
      <c r="IP47" s="119"/>
      <c r="IQ47" s="119"/>
      <c r="IR47" s="119"/>
      <c r="IS47" s="119"/>
      <c r="IT47" s="119"/>
      <c r="IU47" s="119"/>
      <c r="IV47" s="119"/>
    </row>
    <row r="48" s="90" customFormat="1" ht="21.75" customHeight="1" spans="1:256">
      <c r="A48" s="117" t="s">
        <v>1641</v>
      </c>
      <c r="B48" s="105">
        <f>B8+B14+B37+B43</f>
        <v>98884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</row>
  </sheetData>
  <mergeCells count="1">
    <mergeCell ref="A2:B2"/>
  </mergeCells>
  <pageMargins left="0.904861111111111" right="0.904861111111111" top="0.984027777777778" bottom="0.747916666666667" header="0.314583333333333" footer="0.31458333333333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3" sqref="D3"/>
    </sheetView>
  </sheetViews>
  <sheetFormatPr defaultColWidth="26" defaultRowHeight="13.5" outlineLevelCol="3"/>
  <cols>
    <col min="1" max="1" width="29.625" style="64" customWidth="1"/>
    <col min="2" max="2" width="12.375" style="65" customWidth="1"/>
    <col min="3" max="3" width="29.625" style="64" customWidth="1"/>
    <col min="4" max="4" width="12.375" style="65" customWidth="1"/>
    <col min="5" max="16384" width="26" style="64"/>
  </cols>
  <sheetData>
    <row r="1" s="29" customFormat="1" ht="20.25" customHeight="1" spans="1:4">
      <c r="A1" s="66" t="s">
        <v>1642</v>
      </c>
      <c r="B1" s="67"/>
      <c r="C1" s="67"/>
      <c r="D1" s="68"/>
    </row>
    <row r="2" ht="35.25" customHeight="1" spans="1:4">
      <c r="A2" s="69" t="s">
        <v>1643</v>
      </c>
      <c r="B2" s="69"/>
      <c r="C2" s="69"/>
      <c r="D2" s="69"/>
    </row>
    <row r="3" s="63" customFormat="1" ht="27.75" customHeight="1" spans="1:4">
      <c r="A3" s="70"/>
      <c r="B3" s="71"/>
      <c r="C3" s="70"/>
      <c r="D3" s="72" t="s">
        <v>2</v>
      </c>
    </row>
    <row r="4" ht="50.45" customHeight="1" spans="1:4">
      <c r="A4" s="73" t="s">
        <v>1644</v>
      </c>
      <c r="B4" s="74" t="s">
        <v>506</v>
      </c>
      <c r="C4" s="73" t="s">
        <v>1645</v>
      </c>
      <c r="D4" s="74" t="s">
        <v>506</v>
      </c>
    </row>
    <row r="5" ht="50.45" customHeight="1" spans="1:4">
      <c r="A5" s="75" t="s">
        <v>1646</v>
      </c>
      <c r="B5" s="76">
        <v>102000</v>
      </c>
      <c r="C5" s="75" t="s">
        <v>1647</v>
      </c>
      <c r="D5" s="76">
        <v>98884</v>
      </c>
    </row>
    <row r="6" ht="50.45" customHeight="1" spans="1:4">
      <c r="A6" s="77" t="s">
        <v>1648</v>
      </c>
      <c r="B6" s="78">
        <f>B7+B12+B13+B14+B16</f>
        <v>1784</v>
      </c>
      <c r="C6" s="79" t="s">
        <v>1649</v>
      </c>
      <c r="D6" s="78">
        <f>D7+D8+D9+D10+D12</f>
        <v>4000</v>
      </c>
    </row>
    <row r="7" ht="50.45" customHeight="1" spans="1:4">
      <c r="A7" s="79" t="s">
        <v>1650</v>
      </c>
      <c r="B7" s="80">
        <v>1784</v>
      </c>
      <c r="C7" s="79" t="s">
        <v>1651</v>
      </c>
      <c r="D7" s="81"/>
    </row>
    <row r="8" ht="41.25" customHeight="1" spans="1:4">
      <c r="A8" s="82" t="s">
        <v>1652</v>
      </c>
      <c r="B8" s="80">
        <v>289</v>
      </c>
      <c r="C8" s="79" t="s">
        <v>1653</v>
      </c>
      <c r="D8" s="80"/>
    </row>
    <row r="9" ht="41.25" customHeight="1" spans="1:4">
      <c r="A9" s="82" t="s">
        <v>1654</v>
      </c>
      <c r="B9" s="80">
        <v>167</v>
      </c>
      <c r="C9" s="79" t="s">
        <v>1655</v>
      </c>
      <c r="D9" s="76">
        <v>4000</v>
      </c>
    </row>
    <row r="10" ht="41.25" customHeight="1" spans="1:4">
      <c r="A10" s="82" t="s">
        <v>1656</v>
      </c>
      <c r="B10" s="80">
        <v>328</v>
      </c>
      <c r="C10" s="79" t="s">
        <v>1657</v>
      </c>
      <c r="D10" s="83"/>
    </row>
    <row r="11" ht="41.25" customHeight="1" spans="1:4">
      <c r="A11" s="82" t="s">
        <v>1658</v>
      </c>
      <c r="B11" s="80">
        <v>1000</v>
      </c>
      <c r="C11" s="84" t="s">
        <v>1659</v>
      </c>
      <c r="D11" s="85"/>
    </row>
    <row r="12" ht="50.45" customHeight="1" spans="1:4">
      <c r="A12" s="79" t="s">
        <v>1660</v>
      </c>
      <c r="B12" s="80"/>
      <c r="C12" s="77" t="s">
        <v>1661</v>
      </c>
      <c r="D12" s="85"/>
    </row>
    <row r="13" ht="50.45" customHeight="1" spans="1:4">
      <c r="A13" s="79" t="s">
        <v>1662</v>
      </c>
      <c r="B13" s="80"/>
      <c r="C13" s="79" t="s">
        <v>1663</v>
      </c>
      <c r="D13" s="78">
        <f>SUM(D14)</f>
        <v>900</v>
      </c>
    </row>
    <row r="14" ht="50.45" customHeight="1" spans="1:4">
      <c r="A14" s="79" t="s">
        <v>1664</v>
      </c>
      <c r="B14" s="78">
        <f>B15</f>
        <v>0</v>
      </c>
      <c r="C14" s="86" t="s">
        <v>1665</v>
      </c>
      <c r="D14" s="80">
        <v>900</v>
      </c>
    </row>
    <row r="15" ht="50.45" customHeight="1" spans="1:4">
      <c r="A15" s="84" t="s">
        <v>1666</v>
      </c>
      <c r="B15" s="80"/>
      <c r="C15" s="87"/>
      <c r="D15" s="87"/>
    </row>
    <row r="16" ht="50.45" customHeight="1" spans="1:4">
      <c r="A16" s="79" t="s">
        <v>1667</v>
      </c>
      <c r="B16" s="80"/>
      <c r="C16" s="87"/>
      <c r="D16" s="87"/>
    </row>
    <row r="17" ht="50.45" customHeight="1" spans="1:4">
      <c r="A17" s="88" t="s">
        <v>1668</v>
      </c>
      <c r="B17" s="78">
        <f>B5+B6</f>
        <v>103784</v>
      </c>
      <c r="C17" s="88" t="s">
        <v>1669</v>
      </c>
      <c r="D17" s="78">
        <f>D13+D6+D5</f>
        <v>103784</v>
      </c>
    </row>
  </sheetData>
  <mergeCells count="1">
    <mergeCell ref="A2:D2"/>
  </mergeCells>
  <pageMargins left="0.904861111111111" right="0.389583333333333" top="0.984027777777778" bottom="0.747916666666667" header="0.314583333333333" footer="0.31458333333333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1"/>
  <sheetViews>
    <sheetView workbookViewId="0">
      <selection activeCell="B3" sqref="B3"/>
    </sheetView>
  </sheetViews>
  <sheetFormatPr defaultColWidth="9" defaultRowHeight="14.25" outlineLevelCol="1"/>
  <cols>
    <col min="1" max="1" width="62.625" style="46" customWidth="1"/>
    <col min="2" max="2" width="26.25" style="46" customWidth="1"/>
    <col min="3" max="3" width="12.5" style="46" customWidth="1"/>
    <col min="4" max="16384" width="9" style="46"/>
  </cols>
  <sheetData>
    <row r="1" s="45" customFormat="1" ht="20.25" customHeight="1" spans="1:1">
      <c r="A1" s="45" t="s">
        <v>1670</v>
      </c>
    </row>
    <row r="2" s="46" customFormat="1" ht="32.25" customHeight="1" spans="1:2">
      <c r="A2" s="48" t="s">
        <v>1671</v>
      </c>
      <c r="B2" s="48"/>
    </row>
    <row r="3" s="46" customFormat="1" ht="22.5" customHeight="1" spans="1:2">
      <c r="A3" s="49"/>
      <c r="B3" s="50" t="s">
        <v>2</v>
      </c>
    </row>
    <row r="4" s="46" customFormat="1" ht="23.25" customHeight="1" spans="1:2">
      <c r="A4" s="51" t="s">
        <v>1672</v>
      </c>
      <c r="B4" s="52" t="s">
        <v>513</v>
      </c>
    </row>
    <row r="5" s="46" customFormat="1" ht="16.5" customHeight="1" spans="1:2">
      <c r="A5" s="53" t="s">
        <v>1673</v>
      </c>
      <c r="B5" s="54">
        <f>B6+B24+B29+B33+B36</f>
        <v>1000</v>
      </c>
    </row>
    <row r="6" s="46" customFormat="1" ht="16.5" customHeight="1" spans="1:2">
      <c r="A6" s="55" t="s">
        <v>1674</v>
      </c>
      <c r="B6" s="54">
        <f>SUM(B7:B23)</f>
        <v>0</v>
      </c>
    </row>
    <row r="7" s="46" customFormat="1" ht="16.5" customHeight="1" spans="1:2">
      <c r="A7" s="56" t="s">
        <v>1675</v>
      </c>
      <c r="B7" s="57"/>
    </row>
    <row r="8" s="47" customFormat="1" ht="16.5" customHeight="1" spans="1:2">
      <c r="A8" s="56" t="s">
        <v>1676</v>
      </c>
      <c r="B8" s="57"/>
    </row>
    <row r="9" s="47" customFormat="1" ht="16.5" customHeight="1" spans="1:2">
      <c r="A9" s="56" t="s">
        <v>1677</v>
      </c>
      <c r="B9" s="57"/>
    </row>
    <row r="10" s="46" customFormat="1" ht="16.5" customHeight="1" spans="1:2">
      <c r="A10" s="56" t="s">
        <v>1678</v>
      </c>
      <c r="B10" s="57"/>
    </row>
    <row r="11" s="46" customFormat="1" ht="16.5" customHeight="1" spans="1:2">
      <c r="A11" s="56" t="s">
        <v>1679</v>
      </c>
      <c r="B11" s="57"/>
    </row>
    <row r="12" s="46" customFormat="1" ht="16.5" customHeight="1" spans="1:2">
      <c r="A12" s="56" t="s">
        <v>1680</v>
      </c>
      <c r="B12" s="57"/>
    </row>
    <row r="13" s="46" customFormat="1" ht="16.5" customHeight="1" spans="1:2">
      <c r="A13" s="56" t="s">
        <v>1681</v>
      </c>
      <c r="B13" s="57"/>
    </row>
    <row r="14" s="46" customFormat="1" ht="16.5" customHeight="1" spans="1:2">
      <c r="A14" s="56" t="s">
        <v>1682</v>
      </c>
      <c r="B14" s="57"/>
    </row>
    <row r="15" s="46" customFormat="1" ht="16.5" customHeight="1" spans="1:2">
      <c r="A15" s="56" t="s">
        <v>1683</v>
      </c>
      <c r="B15" s="57"/>
    </row>
    <row r="16" s="46" customFormat="1" ht="16.5" customHeight="1" spans="1:2">
      <c r="A16" s="56" t="s">
        <v>1684</v>
      </c>
      <c r="B16" s="57"/>
    </row>
    <row r="17" s="46" customFormat="1" ht="16.5" customHeight="1" spans="1:2">
      <c r="A17" s="56" t="s">
        <v>1685</v>
      </c>
      <c r="B17" s="57"/>
    </row>
    <row r="18" s="46" customFormat="1" ht="16.5" customHeight="1" spans="1:2">
      <c r="A18" s="56" t="s">
        <v>1686</v>
      </c>
      <c r="B18" s="57"/>
    </row>
    <row r="19" s="46" customFormat="1" ht="16.5" customHeight="1" spans="1:2">
      <c r="A19" s="56" t="s">
        <v>1687</v>
      </c>
      <c r="B19" s="57"/>
    </row>
    <row r="20" s="46" customFormat="1" ht="16.5" customHeight="1" spans="1:2">
      <c r="A20" s="56" t="s">
        <v>1688</v>
      </c>
      <c r="B20" s="57"/>
    </row>
    <row r="21" s="46" customFormat="1" ht="16.5" customHeight="1" spans="1:2">
      <c r="A21" s="56" t="s">
        <v>1689</v>
      </c>
      <c r="B21" s="57"/>
    </row>
    <row r="22" s="46" customFormat="1" ht="16.5" customHeight="1" spans="1:2">
      <c r="A22" s="56" t="s">
        <v>1690</v>
      </c>
      <c r="B22" s="57"/>
    </row>
    <row r="23" s="46" customFormat="1" ht="16.5" customHeight="1" spans="1:2">
      <c r="A23" s="56" t="s">
        <v>1691</v>
      </c>
      <c r="B23" s="57"/>
    </row>
    <row r="24" s="46" customFormat="1" ht="16.5" customHeight="1" spans="1:2">
      <c r="A24" s="55" t="s">
        <v>1692</v>
      </c>
      <c r="B24" s="54">
        <f>SUM(B25:B28)</f>
        <v>0</v>
      </c>
    </row>
    <row r="25" s="46" customFormat="1" ht="16.5" customHeight="1" spans="1:2">
      <c r="A25" s="56" t="s">
        <v>1693</v>
      </c>
      <c r="B25" s="57"/>
    </row>
    <row r="26" s="46" customFormat="1" ht="16.5" customHeight="1" spans="1:2">
      <c r="A26" s="56" t="s">
        <v>1694</v>
      </c>
      <c r="B26" s="57"/>
    </row>
    <row r="27" s="46" customFormat="1" ht="16.5" customHeight="1" spans="1:2">
      <c r="A27" s="56" t="s">
        <v>1695</v>
      </c>
      <c r="B27" s="57"/>
    </row>
    <row r="28" s="46" customFormat="1" ht="16.5" customHeight="1" spans="1:2">
      <c r="A28" s="56" t="s">
        <v>1696</v>
      </c>
      <c r="B28" s="57"/>
    </row>
    <row r="29" s="46" customFormat="1" ht="16.5" customHeight="1" spans="1:2">
      <c r="A29" s="55" t="s">
        <v>1697</v>
      </c>
      <c r="B29" s="54">
        <f>SUM(B30:B32)</f>
        <v>0</v>
      </c>
    </row>
    <row r="30" s="46" customFormat="1" ht="16.5" customHeight="1" spans="1:2">
      <c r="A30" s="56" t="s">
        <v>1698</v>
      </c>
      <c r="B30" s="57"/>
    </row>
    <row r="31" s="46" customFormat="1" ht="16.5" customHeight="1" spans="1:2">
      <c r="A31" s="56" t="s">
        <v>1699</v>
      </c>
      <c r="B31" s="57"/>
    </row>
    <row r="32" s="46" customFormat="1" ht="16.5" customHeight="1" spans="1:2">
      <c r="A32" s="56" t="s">
        <v>1700</v>
      </c>
      <c r="B32" s="57"/>
    </row>
    <row r="33" s="46" customFormat="1" ht="16.5" customHeight="1" spans="1:2">
      <c r="A33" s="55" t="s">
        <v>1701</v>
      </c>
      <c r="B33" s="58">
        <f>SUM(B34:B35)</f>
        <v>0</v>
      </c>
    </row>
    <row r="34" s="46" customFormat="1" ht="16.5" customHeight="1" spans="1:2">
      <c r="A34" s="56" t="s">
        <v>1702</v>
      </c>
      <c r="B34" s="57"/>
    </row>
    <row r="35" s="46" customFormat="1" ht="16.5" customHeight="1" spans="1:2">
      <c r="A35" s="56" t="s">
        <v>1703</v>
      </c>
      <c r="B35" s="57"/>
    </row>
    <row r="36" s="46" customFormat="1" ht="16.5" customHeight="1" spans="1:2">
      <c r="A36" s="55" t="s">
        <v>1704</v>
      </c>
      <c r="B36" s="54">
        <f>B37</f>
        <v>1000</v>
      </c>
    </row>
    <row r="37" s="46" customFormat="1" ht="16.5" customHeight="1" spans="1:2">
      <c r="A37" s="56" t="s">
        <v>1705</v>
      </c>
      <c r="B37" s="57">
        <v>1000</v>
      </c>
    </row>
    <row r="38" s="46" customFormat="1" ht="17.25" customHeight="1" spans="1:2">
      <c r="A38" s="59" t="s">
        <v>1706</v>
      </c>
      <c r="B38" s="58">
        <f>B39</f>
        <v>0</v>
      </c>
    </row>
    <row r="39" s="46" customFormat="1" ht="17.25" customHeight="1" spans="1:2">
      <c r="A39" s="60" t="s">
        <v>1707</v>
      </c>
      <c r="B39" s="57"/>
    </row>
    <row r="40" s="46" customFormat="1" ht="17.25" customHeight="1" spans="1:2">
      <c r="A40" s="61" t="s">
        <v>1708</v>
      </c>
      <c r="B40" s="57"/>
    </row>
    <row r="41" s="46" customFormat="1" ht="22.5" customHeight="1" spans="1:2">
      <c r="A41" s="62" t="s">
        <v>1709</v>
      </c>
      <c r="B41" s="54">
        <f>B40+B38+B5</f>
        <v>1000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1"/>
  <sheetViews>
    <sheetView workbookViewId="0">
      <selection activeCell="B3" sqref="B3"/>
    </sheetView>
  </sheetViews>
  <sheetFormatPr defaultColWidth="9" defaultRowHeight="14.25" outlineLevelCol="1"/>
  <cols>
    <col min="1" max="1" width="62.375" style="31" customWidth="1"/>
    <col min="2" max="2" width="18.375" style="31" customWidth="1"/>
    <col min="3" max="16384" width="9" style="31"/>
  </cols>
  <sheetData>
    <row r="1" s="29" customFormat="1" ht="25.9" customHeight="1" spans="1:1">
      <c r="A1" s="32" t="s">
        <v>1710</v>
      </c>
    </row>
    <row r="2" ht="30.95" customHeight="1" spans="1:2">
      <c r="A2" s="33" t="s">
        <v>1711</v>
      </c>
      <c r="B2" s="33"/>
    </row>
    <row r="3" ht="22.5" customHeight="1" spans="1:2">
      <c r="A3" s="34"/>
      <c r="B3" s="35" t="s">
        <v>1712</v>
      </c>
    </row>
    <row r="4" ht="33" customHeight="1" spans="1:2">
      <c r="A4" s="36" t="s">
        <v>1596</v>
      </c>
      <c r="B4" s="37" t="s">
        <v>506</v>
      </c>
    </row>
    <row r="5" ht="24" customHeight="1" spans="1:2">
      <c r="A5" s="38" t="s">
        <v>1713</v>
      </c>
      <c r="B5" s="39">
        <f>B6+B13+B21</f>
        <v>0</v>
      </c>
    </row>
    <row r="6" ht="24" customHeight="1" spans="1:2">
      <c r="A6" s="40" t="s">
        <v>1714</v>
      </c>
      <c r="B6" s="39">
        <f>SUM(B7:B12)</f>
        <v>0</v>
      </c>
    </row>
    <row r="7" s="30" customFormat="1" ht="24" customHeight="1" spans="1:2">
      <c r="A7" s="40" t="s">
        <v>1715</v>
      </c>
      <c r="B7" s="41"/>
    </row>
    <row r="8" s="30" customFormat="1" ht="24" customHeight="1" spans="1:2">
      <c r="A8" s="40" t="s">
        <v>1716</v>
      </c>
      <c r="B8" s="41"/>
    </row>
    <row r="9" ht="24" customHeight="1" spans="1:2">
      <c r="A9" s="40" t="s">
        <v>1717</v>
      </c>
      <c r="B9" s="41"/>
    </row>
    <row r="10" ht="24" hidden="1" customHeight="1" spans="1:2">
      <c r="A10" s="40" t="s">
        <v>1718</v>
      </c>
      <c r="B10" s="42"/>
    </row>
    <row r="11" ht="24" hidden="1" customHeight="1" spans="1:2">
      <c r="A11" s="40" t="s">
        <v>1719</v>
      </c>
      <c r="B11" s="42"/>
    </row>
    <row r="12" ht="24" hidden="1" customHeight="1" spans="1:2">
      <c r="A12" s="40" t="s">
        <v>1720</v>
      </c>
      <c r="B12" s="42"/>
    </row>
    <row r="13" ht="24" customHeight="1" spans="1:2">
      <c r="A13" s="40" t="s">
        <v>1721</v>
      </c>
      <c r="B13" s="39">
        <f>SUM(B14:B20)</f>
        <v>0</v>
      </c>
    </row>
    <row r="14" ht="24" customHeight="1" spans="1:2">
      <c r="A14" s="40" t="s">
        <v>1722</v>
      </c>
      <c r="B14" s="41"/>
    </row>
    <row r="15" ht="24" customHeight="1" spans="1:2">
      <c r="A15" s="40" t="s">
        <v>1723</v>
      </c>
      <c r="B15" s="42"/>
    </row>
    <row r="16" ht="24" customHeight="1" spans="1:2">
      <c r="A16" s="40" t="s">
        <v>1724</v>
      </c>
      <c r="B16" s="41"/>
    </row>
    <row r="17" ht="24" customHeight="1" spans="1:2">
      <c r="A17" s="40" t="s">
        <v>1725</v>
      </c>
      <c r="B17" s="41"/>
    </row>
    <row r="18" ht="24" customHeight="1" spans="1:2">
      <c r="A18" s="40" t="s">
        <v>1726</v>
      </c>
      <c r="B18" s="41"/>
    </row>
    <row r="19" ht="24" customHeight="1" spans="1:2">
      <c r="A19" s="40" t="s">
        <v>1727</v>
      </c>
      <c r="B19" s="41"/>
    </row>
    <row r="20" ht="24" customHeight="1" spans="1:2">
      <c r="A20" s="40" t="s">
        <v>1728</v>
      </c>
      <c r="B20" s="42"/>
    </row>
    <row r="21" ht="24" customHeight="1" spans="1:2">
      <c r="A21" s="40" t="s">
        <v>1729</v>
      </c>
      <c r="B21" s="39">
        <f>B22</f>
        <v>0</v>
      </c>
    </row>
    <row r="22" ht="24" customHeight="1" spans="1:2">
      <c r="A22" s="40" t="s">
        <v>1730</v>
      </c>
      <c r="B22" s="42"/>
    </row>
    <row r="23" ht="24" customHeight="1" spans="1:2">
      <c r="A23" s="40" t="s">
        <v>1731</v>
      </c>
      <c r="B23" s="41"/>
    </row>
    <row r="24" ht="24" customHeight="1" spans="1:2">
      <c r="A24" s="43" t="s">
        <v>1732</v>
      </c>
      <c r="B24" s="41"/>
    </row>
    <row r="25" ht="24" customHeight="1" spans="1:2">
      <c r="A25" s="40" t="s">
        <v>1733</v>
      </c>
      <c r="B25" s="41"/>
    </row>
    <row r="26" ht="24" customHeight="1" spans="1:2">
      <c r="A26" s="40" t="s">
        <v>1734</v>
      </c>
      <c r="B26" s="41"/>
    </row>
    <row r="27" ht="24" customHeight="1" spans="1:2">
      <c r="A27" s="38" t="s">
        <v>1735</v>
      </c>
      <c r="B27" s="39">
        <f>B28+B29</f>
        <v>1000</v>
      </c>
    </row>
    <row r="28" ht="24" customHeight="1" spans="1:2">
      <c r="A28" s="38" t="s">
        <v>1736</v>
      </c>
      <c r="B28" s="41"/>
    </row>
    <row r="29" ht="24" customHeight="1" spans="1:2">
      <c r="A29" s="38" t="s">
        <v>1737</v>
      </c>
      <c r="B29" s="39">
        <f>B30</f>
        <v>1000</v>
      </c>
    </row>
    <row r="30" ht="24" customHeight="1" spans="1:2">
      <c r="A30" s="40" t="s">
        <v>1738</v>
      </c>
      <c r="B30" s="42">
        <v>1000</v>
      </c>
    </row>
    <row r="31" ht="29.25" customHeight="1" spans="1:2">
      <c r="A31" s="44" t="s">
        <v>1739</v>
      </c>
      <c r="B31" s="39">
        <f>B5+B27</f>
        <v>1000</v>
      </c>
    </row>
  </sheetData>
  <mergeCells count="1">
    <mergeCell ref="A2:B2"/>
  </mergeCells>
  <pageMargins left="0.904861111111111" right="0.904861111111111" top="0.984027777777778" bottom="0.747916666666667" header="0.314583333333333" footer="0.31458333333333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Zeros="0" workbookViewId="0">
      <selection activeCell="I13" sqref="H13:I13"/>
    </sheetView>
  </sheetViews>
  <sheetFormatPr defaultColWidth="10" defaultRowHeight="14.25" outlineLevelCol="3"/>
  <cols>
    <col min="1" max="1" width="30.25" style="2" customWidth="1"/>
    <col min="2" max="2" width="11.375" style="3" customWidth="1"/>
    <col min="3" max="3" width="41.375" style="2" customWidth="1"/>
    <col min="4" max="4" width="12.75" style="2" customWidth="1"/>
    <col min="5" max="16384" width="10" style="2"/>
  </cols>
  <sheetData>
    <row r="1" s="1" customFormat="1" ht="22.15" customHeight="1" spans="1:4">
      <c r="A1" s="4" t="s">
        <v>1740</v>
      </c>
      <c r="B1" s="5"/>
      <c r="C1" s="6"/>
      <c r="D1" s="6"/>
    </row>
    <row r="2" ht="37.5" customHeight="1" spans="1:4">
      <c r="A2" s="7" t="s">
        <v>1741</v>
      </c>
      <c r="B2" s="7"/>
      <c r="C2" s="7"/>
      <c r="D2" s="7"/>
    </row>
    <row r="3" ht="19.9" customHeight="1" spans="1:4">
      <c r="A3" s="8"/>
      <c r="B3" s="9"/>
      <c r="C3" s="10" t="s">
        <v>1468</v>
      </c>
      <c r="D3" s="10"/>
    </row>
    <row r="4" ht="21" customHeight="1" spans="1:4">
      <c r="A4" s="11" t="s">
        <v>1742</v>
      </c>
      <c r="B4" s="12" t="s">
        <v>506</v>
      </c>
      <c r="C4" s="11" t="s">
        <v>1742</v>
      </c>
      <c r="D4" s="12" t="s">
        <v>506</v>
      </c>
    </row>
    <row r="5" ht="27" spans="1:4">
      <c r="A5" s="13" t="s">
        <v>1743</v>
      </c>
      <c r="B5" s="14"/>
      <c r="C5" s="13" t="s">
        <v>1743</v>
      </c>
      <c r="D5" s="15"/>
    </row>
    <row r="6" ht="21" customHeight="1" spans="1:4">
      <c r="A6" s="13" t="s">
        <v>1744</v>
      </c>
      <c r="B6" s="16">
        <f>SUM(B7:B10)</f>
        <v>0</v>
      </c>
      <c r="C6" s="13" t="s">
        <v>1744</v>
      </c>
      <c r="D6" s="17">
        <f>SUM(D7:D14)</f>
        <v>0</v>
      </c>
    </row>
    <row r="7" ht="21" customHeight="1" spans="1:4">
      <c r="A7" s="18" t="s">
        <v>1745</v>
      </c>
      <c r="B7" s="19"/>
      <c r="C7" s="20" t="s">
        <v>1746</v>
      </c>
      <c r="D7" s="15"/>
    </row>
    <row r="8" ht="21" customHeight="1" spans="1:4">
      <c r="A8" s="18" t="s">
        <v>1747</v>
      </c>
      <c r="B8" s="19"/>
      <c r="C8" s="20" t="s">
        <v>1748</v>
      </c>
      <c r="D8" s="15"/>
    </row>
    <row r="9" ht="21" customHeight="1" spans="1:4">
      <c r="A9" s="18" t="s">
        <v>1749</v>
      </c>
      <c r="B9" s="19"/>
      <c r="C9" s="20" t="s">
        <v>1750</v>
      </c>
      <c r="D9" s="15"/>
    </row>
    <row r="10" ht="21" customHeight="1" spans="1:4">
      <c r="A10" s="18" t="s">
        <v>1751</v>
      </c>
      <c r="B10" s="19"/>
      <c r="C10" s="20" t="s">
        <v>1752</v>
      </c>
      <c r="D10" s="15"/>
    </row>
    <row r="11" ht="21" customHeight="1" spans="1:4">
      <c r="A11" s="15"/>
      <c r="B11" s="21"/>
      <c r="C11" s="20" t="s">
        <v>1753</v>
      </c>
      <c r="D11" s="15"/>
    </row>
    <row r="12" ht="21" customHeight="1" spans="1:4">
      <c r="A12" s="15"/>
      <c r="B12" s="21"/>
      <c r="C12" s="15" t="s">
        <v>1754</v>
      </c>
      <c r="D12" s="15"/>
    </row>
    <row r="13" ht="21" customHeight="1" spans="1:4">
      <c r="A13" s="15"/>
      <c r="B13" s="21"/>
      <c r="C13" s="15" t="s">
        <v>1755</v>
      </c>
      <c r="D13" s="15"/>
    </row>
    <row r="14" ht="21" customHeight="1" spans="1:4">
      <c r="A14" s="15"/>
      <c r="B14" s="21"/>
      <c r="C14" s="20" t="s">
        <v>1756</v>
      </c>
      <c r="D14" s="15"/>
    </row>
    <row r="15" ht="21" customHeight="1" spans="1:4">
      <c r="A15" s="13" t="s">
        <v>1757</v>
      </c>
      <c r="B15" s="16">
        <f>SUM(B16:B19)</f>
        <v>0</v>
      </c>
      <c r="C15" s="22" t="s">
        <v>1758</v>
      </c>
      <c r="D15" s="17">
        <f>SUM(D16:D18)</f>
        <v>0</v>
      </c>
    </row>
    <row r="16" ht="21" customHeight="1" spans="1:4">
      <c r="A16" s="18" t="s">
        <v>1759</v>
      </c>
      <c r="B16" s="19"/>
      <c r="C16" s="20" t="s">
        <v>1760</v>
      </c>
      <c r="D16" s="15"/>
    </row>
    <row r="17" ht="21" customHeight="1" spans="1:4">
      <c r="A17" s="18" t="s">
        <v>1761</v>
      </c>
      <c r="B17" s="19"/>
      <c r="C17" s="20" t="s">
        <v>1762</v>
      </c>
      <c r="D17" s="15"/>
    </row>
    <row r="18" ht="21" customHeight="1" spans="1:4">
      <c r="A18" s="18" t="s">
        <v>1763</v>
      </c>
      <c r="B18" s="19"/>
      <c r="C18" s="20" t="s">
        <v>1764</v>
      </c>
      <c r="D18" s="15"/>
    </row>
    <row r="19" ht="21" customHeight="1" spans="1:4">
      <c r="A19" s="18" t="s">
        <v>1765</v>
      </c>
      <c r="B19" s="19"/>
      <c r="C19" s="23"/>
      <c r="D19" s="23"/>
    </row>
    <row r="20" ht="21" customHeight="1" spans="1:4">
      <c r="A20" s="13" t="s">
        <v>1766</v>
      </c>
      <c r="B20" s="16">
        <f>SUM(B21:B24)</f>
        <v>0</v>
      </c>
      <c r="C20" s="13" t="s">
        <v>1767</v>
      </c>
      <c r="D20" s="17">
        <f>SUM(D21:D24)</f>
        <v>0</v>
      </c>
    </row>
    <row r="21" ht="21" customHeight="1" spans="1:4">
      <c r="A21" s="18" t="s">
        <v>1768</v>
      </c>
      <c r="B21" s="19"/>
      <c r="C21" s="18" t="s">
        <v>1769</v>
      </c>
      <c r="D21" s="15"/>
    </row>
    <row r="22" ht="21" customHeight="1" spans="1:4">
      <c r="A22" s="18" t="s">
        <v>1770</v>
      </c>
      <c r="B22" s="19"/>
      <c r="C22" s="20" t="s">
        <v>1771</v>
      </c>
      <c r="D22" s="15"/>
    </row>
    <row r="23" ht="21" customHeight="1" spans="1:4">
      <c r="A23" s="18" t="s">
        <v>1772</v>
      </c>
      <c r="B23" s="19"/>
      <c r="C23" s="20" t="s">
        <v>1773</v>
      </c>
      <c r="D23" s="15"/>
    </row>
    <row r="24" ht="21" customHeight="1" spans="1:4">
      <c r="A24" s="18" t="s">
        <v>1774</v>
      </c>
      <c r="B24" s="19"/>
      <c r="C24" s="18" t="s">
        <v>1775</v>
      </c>
      <c r="D24" s="15"/>
    </row>
    <row r="25" ht="21" customHeight="1" spans="1:4">
      <c r="A25" s="13" t="s">
        <v>1776</v>
      </c>
      <c r="B25" s="16">
        <f>SUM(B26:B29)</f>
        <v>20270</v>
      </c>
      <c r="C25" s="22" t="s">
        <v>1777</v>
      </c>
      <c r="D25" s="17">
        <f>SUM(D26:D29)</f>
        <v>14780</v>
      </c>
    </row>
    <row r="26" ht="21" customHeight="1" spans="1:4">
      <c r="A26" s="18" t="s">
        <v>1778</v>
      </c>
      <c r="B26" s="14">
        <v>4751</v>
      </c>
      <c r="C26" s="20" t="s">
        <v>1779</v>
      </c>
      <c r="D26" s="15">
        <v>13352</v>
      </c>
    </row>
    <row r="27" ht="21" customHeight="1" spans="1:4">
      <c r="A27" s="18" t="s">
        <v>1780</v>
      </c>
      <c r="B27" s="14">
        <v>14679</v>
      </c>
      <c r="C27" s="20" t="s">
        <v>1781</v>
      </c>
      <c r="D27" s="15">
        <v>754</v>
      </c>
    </row>
    <row r="28" ht="21" customHeight="1" spans="1:4">
      <c r="A28" s="18" t="s">
        <v>1782</v>
      </c>
      <c r="B28" s="14">
        <v>830</v>
      </c>
      <c r="C28" s="20" t="s">
        <v>1783</v>
      </c>
      <c r="D28" s="15">
        <v>667</v>
      </c>
    </row>
    <row r="29" ht="21" customHeight="1" spans="1:4">
      <c r="A29" s="18" t="s">
        <v>1784</v>
      </c>
      <c r="B29" s="14">
        <v>10</v>
      </c>
      <c r="C29" s="20" t="s">
        <v>1785</v>
      </c>
      <c r="D29" s="15">
        <v>7</v>
      </c>
    </row>
    <row r="30" ht="21" customHeight="1" spans="1:4">
      <c r="A30" s="13" t="s">
        <v>1786</v>
      </c>
      <c r="B30" s="14"/>
      <c r="C30" s="22" t="s">
        <v>1787</v>
      </c>
      <c r="D30" s="15"/>
    </row>
    <row r="31" ht="21" customHeight="1" spans="1:4">
      <c r="A31" s="13" t="s">
        <v>1788</v>
      </c>
      <c r="B31" s="16">
        <f>SUM(B32:B35)</f>
        <v>0</v>
      </c>
      <c r="C31" s="22" t="s">
        <v>1789</v>
      </c>
      <c r="D31" s="17">
        <f>SUM(D32:D34)</f>
        <v>0</v>
      </c>
    </row>
    <row r="32" ht="21" customHeight="1" spans="1:4">
      <c r="A32" s="18" t="s">
        <v>1790</v>
      </c>
      <c r="B32" s="19"/>
      <c r="C32" s="24" t="s">
        <v>1791</v>
      </c>
      <c r="D32" s="15"/>
    </row>
    <row r="33" ht="21" customHeight="1" spans="1:4">
      <c r="A33" s="18" t="s">
        <v>1792</v>
      </c>
      <c r="B33" s="19"/>
      <c r="C33" s="20" t="s">
        <v>1793</v>
      </c>
      <c r="D33" s="15"/>
    </row>
    <row r="34" ht="21" customHeight="1" spans="1:4">
      <c r="A34" s="18" t="s">
        <v>1794</v>
      </c>
      <c r="B34" s="19"/>
      <c r="C34" s="20" t="s">
        <v>1795</v>
      </c>
      <c r="D34" s="15"/>
    </row>
    <row r="35" ht="21" customHeight="1" spans="1:4">
      <c r="A35" s="18" t="s">
        <v>1796</v>
      </c>
      <c r="B35" s="19"/>
      <c r="C35" s="15"/>
      <c r="D35" s="15"/>
    </row>
    <row r="36" ht="21" customHeight="1" spans="1:4">
      <c r="A36" s="13" t="s">
        <v>1797</v>
      </c>
      <c r="B36" s="19"/>
      <c r="C36" s="13" t="s">
        <v>1798</v>
      </c>
      <c r="D36" s="15"/>
    </row>
    <row r="37" ht="21" customHeight="1" spans="1:4">
      <c r="A37" s="14" t="s">
        <v>1799</v>
      </c>
      <c r="B37" s="16">
        <f>B31+B30+B25+B20+B15+B6+B5</f>
        <v>20270</v>
      </c>
      <c r="C37" s="14" t="s">
        <v>1800</v>
      </c>
      <c r="D37" s="25">
        <f>D31+D30+D25+D20+D15+D6+D5</f>
        <v>14780</v>
      </c>
    </row>
    <row r="38" ht="21" customHeight="1" spans="1:4">
      <c r="A38" s="26" t="s">
        <v>1648</v>
      </c>
      <c r="B38" s="16"/>
      <c r="C38" s="26" t="s">
        <v>1649</v>
      </c>
      <c r="D38" s="25">
        <f>D39+D40</f>
        <v>42573</v>
      </c>
    </row>
    <row r="39" ht="21" customHeight="1" spans="1:4">
      <c r="A39" s="27" t="s">
        <v>1801</v>
      </c>
      <c r="B39" s="19">
        <v>37083</v>
      </c>
      <c r="C39" s="28" t="s">
        <v>1802</v>
      </c>
      <c r="D39" s="15">
        <v>42573</v>
      </c>
    </row>
    <row r="40" ht="21" customHeight="1" spans="1:4">
      <c r="A40" s="27" t="s">
        <v>1803</v>
      </c>
      <c r="B40" s="14"/>
      <c r="C40" s="27" t="s">
        <v>1804</v>
      </c>
      <c r="D40" s="15"/>
    </row>
    <row r="41" ht="21" customHeight="1" spans="1:4">
      <c r="A41" s="14" t="s">
        <v>1805</v>
      </c>
      <c r="B41" s="16">
        <f>B37+B39</f>
        <v>57353</v>
      </c>
      <c r="C41" s="14" t="s">
        <v>1806</v>
      </c>
      <c r="D41" s="25">
        <f>D38+D37</f>
        <v>57353</v>
      </c>
    </row>
  </sheetData>
  <mergeCells count="2">
    <mergeCell ref="A2:D2"/>
    <mergeCell ref="C3:D3"/>
  </mergeCells>
  <pageMargins left="0.904861111111111" right="0.904861111111111" top="0.984027777777778" bottom="0.747916666666667" header="0.314583333333333" footer="0.31458333333333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E3" sqref="E3:F3"/>
    </sheetView>
  </sheetViews>
  <sheetFormatPr defaultColWidth="9" defaultRowHeight="14.25" outlineLevelCol="7"/>
  <cols>
    <col min="1" max="1" width="31.5" style="138" customWidth="1"/>
    <col min="2" max="4" width="10.25" style="138" customWidth="1"/>
    <col min="5" max="5" width="10.25" style="274" customWidth="1"/>
    <col min="6" max="6" width="11.375" style="138" customWidth="1"/>
    <col min="7" max="7" width="9" style="138"/>
    <col min="8" max="8" width="12" style="138" customWidth="1"/>
    <col min="9" max="16384" width="9" style="138"/>
  </cols>
  <sheetData>
    <row r="1" ht="20.25" customHeight="1" spans="1:6">
      <c r="A1" s="191" t="s">
        <v>35</v>
      </c>
      <c r="B1" s="275"/>
      <c r="C1" s="275"/>
      <c r="D1" s="275"/>
      <c r="E1" s="276"/>
      <c r="F1" s="275"/>
    </row>
    <row r="2" ht="39.75" customHeight="1" spans="1:6">
      <c r="A2" s="277" t="s">
        <v>36</v>
      </c>
      <c r="B2" s="277"/>
      <c r="C2" s="277"/>
      <c r="D2" s="277"/>
      <c r="E2" s="277"/>
      <c r="F2" s="277"/>
    </row>
    <row r="3" s="271" customFormat="1" ht="20.25" customHeight="1" spans="1:6">
      <c r="A3" s="278"/>
      <c r="B3" s="278"/>
      <c r="C3" s="278"/>
      <c r="D3" s="278"/>
      <c r="E3" s="279" t="s">
        <v>2</v>
      </c>
      <c r="F3" s="279"/>
    </row>
    <row r="4" s="271" customFormat="1" ht="40.5" customHeight="1" spans="1:6">
      <c r="A4" s="280" t="s">
        <v>3</v>
      </c>
      <c r="B4" s="281" t="s">
        <v>4</v>
      </c>
      <c r="C4" s="281" t="s">
        <v>5</v>
      </c>
      <c r="D4" s="281" t="s">
        <v>6</v>
      </c>
      <c r="E4" s="281" t="s">
        <v>7</v>
      </c>
      <c r="F4" s="282" t="s">
        <v>8</v>
      </c>
    </row>
    <row r="5" s="271" customFormat="1" ht="21.75" customHeight="1" spans="1:6">
      <c r="A5" s="283" t="s">
        <v>37</v>
      </c>
      <c r="B5" s="284">
        <v>24555</v>
      </c>
      <c r="C5" s="285">
        <v>30470</v>
      </c>
      <c r="D5" s="285">
        <v>30470</v>
      </c>
      <c r="E5" s="286">
        <f>ROUND(D5/C5*100,2)</f>
        <v>100</v>
      </c>
      <c r="F5" s="287">
        <v>-5.82</v>
      </c>
    </row>
    <row r="6" s="271" customFormat="1" ht="21.75" customHeight="1" spans="1:6">
      <c r="A6" s="288" t="s">
        <v>38</v>
      </c>
      <c r="B6" s="289"/>
      <c r="C6" s="290"/>
      <c r="D6" s="290"/>
      <c r="E6" s="291"/>
      <c r="F6" s="292"/>
    </row>
    <row r="7" s="271" customFormat="1" ht="21.75" customHeight="1" spans="1:6">
      <c r="A7" s="288" t="s">
        <v>39</v>
      </c>
      <c r="B7" s="289">
        <v>4</v>
      </c>
      <c r="C7" s="290">
        <v>34</v>
      </c>
      <c r="D7" s="290">
        <v>34</v>
      </c>
      <c r="E7" s="291">
        <f t="shared" ref="E7:E30" si="0">ROUND(D7/C7*100,2)</f>
        <v>100</v>
      </c>
      <c r="F7" s="292">
        <v>-72.36</v>
      </c>
    </row>
    <row r="8" s="271" customFormat="1" ht="21.75" customHeight="1" spans="1:6">
      <c r="A8" s="288" t="s">
        <v>40</v>
      </c>
      <c r="B8" s="289">
        <v>8110</v>
      </c>
      <c r="C8" s="290">
        <v>13617</v>
      </c>
      <c r="D8" s="290">
        <v>13617</v>
      </c>
      <c r="E8" s="291">
        <f t="shared" si="0"/>
        <v>100</v>
      </c>
      <c r="F8" s="292">
        <v>4.93</v>
      </c>
    </row>
    <row r="9" s="271" customFormat="1" ht="21.75" customHeight="1" spans="1:6">
      <c r="A9" s="288" t="s">
        <v>41</v>
      </c>
      <c r="B9" s="289">
        <v>69792</v>
      </c>
      <c r="C9" s="290">
        <v>95882</v>
      </c>
      <c r="D9" s="290">
        <v>95882</v>
      </c>
      <c r="E9" s="291">
        <f t="shared" si="0"/>
        <v>100</v>
      </c>
      <c r="F9" s="292">
        <v>0.42</v>
      </c>
    </row>
    <row r="10" s="271" customFormat="1" ht="21.75" customHeight="1" spans="1:6">
      <c r="A10" s="288" t="s">
        <v>42</v>
      </c>
      <c r="B10" s="289">
        <v>270</v>
      </c>
      <c r="C10" s="290">
        <v>759</v>
      </c>
      <c r="D10" s="290">
        <v>759</v>
      </c>
      <c r="E10" s="291">
        <f t="shared" si="0"/>
        <v>100</v>
      </c>
      <c r="F10" s="292">
        <v>19.72</v>
      </c>
    </row>
    <row r="11" s="271" customFormat="1" ht="21.75" customHeight="1" spans="1:6">
      <c r="A11" s="288" t="s">
        <v>43</v>
      </c>
      <c r="B11" s="289">
        <v>2372</v>
      </c>
      <c r="C11" s="290">
        <v>7957</v>
      </c>
      <c r="D11" s="290">
        <v>7957</v>
      </c>
      <c r="E11" s="291">
        <f t="shared" si="0"/>
        <v>100</v>
      </c>
      <c r="F11" s="292">
        <v>4.48</v>
      </c>
    </row>
    <row r="12" s="271" customFormat="1" ht="21.75" customHeight="1" spans="1:6">
      <c r="A12" s="288" t="s">
        <v>44</v>
      </c>
      <c r="B12" s="289">
        <v>40948</v>
      </c>
      <c r="C12" s="290">
        <v>68231</v>
      </c>
      <c r="D12" s="290">
        <v>68231</v>
      </c>
      <c r="E12" s="291">
        <f t="shared" si="0"/>
        <v>100</v>
      </c>
      <c r="F12" s="292">
        <v>-2.36</v>
      </c>
    </row>
    <row r="13" s="271" customFormat="1" ht="21.75" customHeight="1" spans="1:6">
      <c r="A13" s="288" t="s">
        <v>45</v>
      </c>
      <c r="B13" s="289">
        <v>20535</v>
      </c>
      <c r="C13" s="290">
        <v>31828</v>
      </c>
      <c r="D13" s="290">
        <v>31828</v>
      </c>
      <c r="E13" s="291">
        <f t="shared" si="0"/>
        <v>100</v>
      </c>
      <c r="F13" s="292">
        <v>-6.12</v>
      </c>
    </row>
    <row r="14" s="271" customFormat="1" ht="21.75" customHeight="1" spans="1:6">
      <c r="A14" s="288" t="s">
        <v>46</v>
      </c>
      <c r="B14" s="289">
        <v>8257</v>
      </c>
      <c r="C14" s="290">
        <v>10851</v>
      </c>
      <c r="D14" s="290">
        <v>10851</v>
      </c>
      <c r="E14" s="291">
        <f t="shared" si="0"/>
        <v>100</v>
      </c>
      <c r="F14" s="292">
        <v>-12.68</v>
      </c>
    </row>
    <row r="15" s="271" customFormat="1" ht="21.75" customHeight="1" spans="1:6">
      <c r="A15" s="288" t="s">
        <v>47</v>
      </c>
      <c r="B15" s="289">
        <v>2585</v>
      </c>
      <c r="C15" s="290">
        <v>87103</v>
      </c>
      <c r="D15" s="290">
        <v>87103</v>
      </c>
      <c r="E15" s="291">
        <f t="shared" si="0"/>
        <v>100</v>
      </c>
      <c r="F15" s="292">
        <v>57.4</v>
      </c>
    </row>
    <row r="16" s="271" customFormat="1" ht="21.75" customHeight="1" spans="1:6">
      <c r="A16" s="288" t="s">
        <v>48</v>
      </c>
      <c r="B16" s="289">
        <v>68734</v>
      </c>
      <c r="C16" s="290">
        <v>102510</v>
      </c>
      <c r="D16" s="290">
        <v>102510</v>
      </c>
      <c r="E16" s="291">
        <f t="shared" si="0"/>
        <v>100</v>
      </c>
      <c r="F16" s="292">
        <v>-35.34</v>
      </c>
    </row>
    <row r="17" s="271" customFormat="1" ht="21.75" customHeight="1" spans="1:6">
      <c r="A17" s="288" t="s">
        <v>49</v>
      </c>
      <c r="B17" s="289">
        <v>37074</v>
      </c>
      <c r="C17" s="290">
        <v>12374</v>
      </c>
      <c r="D17" s="290">
        <v>12374</v>
      </c>
      <c r="E17" s="291">
        <f t="shared" si="0"/>
        <v>100</v>
      </c>
      <c r="F17" s="292">
        <v>-29.07</v>
      </c>
    </row>
    <row r="18" s="271" customFormat="1" ht="21.75" customHeight="1" spans="1:6">
      <c r="A18" s="288" t="s">
        <v>50</v>
      </c>
      <c r="B18" s="289">
        <v>211</v>
      </c>
      <c r="C18" s="290">
        <v>2039</v>
      </c>
      <c r="D18" s="290">
        <v>2039</v>
      </c>
      <c r="E18" s="291">
        <f t="shared" si="0"/>
        <v>100</v>
      </c>
      <c r="F18" s="292">
        <v>7.26</v>
      </c>
    </row>
    <row r="19" s="271" customFormat="1" ht="21.75" customHeight="1" spans="1:6">
      <c r="A19" s="288" t="s">
        <v>51</v>
      </c>
      <c r="B19" s="289">
        <v>196</v>
      </c>
      <c r="C19" s="290">
        <v>394</v>
      </c>
      <c r="D19" s="290">
        <v>394</v>
      </c>
      <c r="E19" s="291">
        <f t="shared" si="0"/>
        <v>100</v>
      </c>
      <c r="F19" s="292">
        <v>-73.59</v>
      </c>
    </row>
    <row r="20" s="271" customFormat="1" ht="21.75" customHeight="1" spans="1:6">
      <c r="A20" s="288" t="s">
        <v>52</v>
      </c>
      <c r="B20" s="289">
        <v>247</v>
      </c>
      <c r="C20" s="290">
        <v>247</v>
      </c>
      <c r="D20" s="290">
        <v>247</v>
      </c>
      <c r="E20" s="291">
        <f t="shared" si="0"/>
        <v>100</v>
      </c>
      <c r="F20" s="292">
        <v>533.33</v>
      </c>
    </row>
    <row r="21" s="271" customFormat="1" ht="21.75" customHeight="1" spans="1:6">
      <c r="A21" s="288" t="s">
        <v>53</v>
      </c>
      <c r="B21" s="289"/>
      <c r="C21" s="290"/>
      <c r="D21" s="290"/>
      <c r="E21" s="291"/>
      <c r="F21" s="292"/>
    </row>
    <row r="22" s="271" customFormat="1" ht="21.75" customHeight="1" spans="1:6">
      <c r="A22" s="288" t="s">
        <v>54</v>
      </c>
      <c r="B22" s="289">
        <v>1349</v>
      </c>
      <c r="C22" s="290">
        <v>1511</v>
      </c>
      <c r="D22" s="290">
        <v>1511</v>
      </c>
      <c r="E22" s="291">
        <f t="shared" si="0"/>
        <v>100</v>
      </c>
      <c r="F22" s="292">
        <v>-67.95</v>
      </c>
    </row>
    <row r="23" s="271" customFormat="1" ht="21.75" customHeight="1" spans="1:6">
      <c r="A23" s="288" t="s">
        <v>55</v>
      </c>
      <c r="B23" s="289">
        <v>15237</v>
      </c>
      <c r="C23" s="290">
        <v>28645</v>
      </c>
      <c r="D23" s="290">
        <v>28645</v>
      </c>
      <c r="E23" s="291">
        <f t="shared" si="0"/>
        <v>100</v>
      </c>
      <c r="F23" s="292">
        <v>-43.23</v>
      </c>
    </row>
    <row r="24" s="271" customFormat="1" ht="21.75" customHeight="1" spans="1:6">
      <c r="A24" s="288" t="s">
        <v>56</v>
      </c>
      <c r="B24" s="289">
        <v>3339</v>
      </c>
      <c r="C24" s="290">
        <v>3667</v>
      </c>
      <c r="D24" s="290">
        <v>3667</v>
      </c>
      <c r="E24" s="291">
        <f t="shared" si="0"/>
        <v>100</v>
      </c>
      <c r="F24" s="292">
        <v>-9.55</v>
      </c>
    </row>
    <row r="25" s="271" customFormat="1" ht="21.75" customHeight="1" spans="1:6">
      <c r="A25" s="293" t="s">
        <v>57</v>
      </c>
      <c r="B25" s="289">
        <v>1726</v>
      </c>
      <c r="C25" s="290">
        <v>4632</v>
      </c>
      <c r="D25" s="290">
        <v>4632</v>
      </c>
      <c r="E25" s="291">
        <f t="shared" si="0"/>
        <v>100</v>
      </c>
      <c r="F25" s="292"/>
    </row>
    <row r="26" s="271" customFormat="1" ht="21.75" customHeight="1" spans="1:6">
      <c r="A26" s="288" t="s">
        <v>58</v>
      </c>
      <c r="B26" s="289">
        <v>2000</v>
      </c>
      <c r="C26" s="290"/>
      <c r="D26" s="290"/>
      <c r="E26" s="291"/>
      <c r="F26" s="292"/>
    </row>
    <row r="27" s="271" customFormat="1" ht="21.75" customHeight="1" spans="1:6">
      <c r="A27" s="288" t="s">
        <v>59</v>
      </c>
      <c r="B27" s="290">
        <v>6000</v>
      </c>
      <c r="C27" s="290">
        <v>1531</v>
      </c>
      <c r="D27" s="290">
        <v>1531</v>
      </c>
      <c r="E27" s="291">
        <f t="shared" si="0"/>
        <v>100</v>
      </c>
      <c r="F27" s="292">
        <v>11.18</v>
      </c>
    </row>
    <row r="28" s="271" customFormat="1" ht="21.75" customHeight="1" spans="1:6">
      <c r="A28" s="288" t="s">
        <v>60</v>
      </c>
      <c r="B28" s="290">
        <v>6181</v>
      </c>
      <c r="C28" s="290">
        <v>22251</v>
      </c>
      <c r="D28" s="290">
        <v>22251</v>
      </c>
      <c r="E28" s="291">
        <f t="shared" si="0"/>
        <v>100</v>
      </c>
      <c r="F28" s="292">
        <v>28.72</v>
      </c>
    </row>
    <row r="29" s="271" customFormat="1" ht="21.75" customHeight="1" spans="1:6">
      <c r="A29" s="288" t="s">
        <v>61</v>
      </c>
      <c r="B29" s="290"/>
      <c r="C29" s="290">
        <v>135</v>
      </c>
      <c r="D29" s="290">
        <v>135</v>
      </c>
      <c r="E29" s="291">
        <f t="shared" si="0"/>
        <v>100</v>
      </c>
      <c r="F29" s="292"/>
    </row>
    <row r="30" s="272" customFormat="1" ht="21.75" customHeight="1" spans="1:8">
      <c r="A30" s="294" t="s">
        <v>62</v>
      </c>
      <c r="B30" s="295">
        <f>SUM(B5:B29)</f>
        <v>319722</v>
      </c>
      <c r="C30" s="295">
        <f>SUM(C5:C29)</f>
        <v>526668</v>
      </c>
      <c r="D30" s="295">
        <f>SUM(D5:D29)</f>
        <v>526668</v>
      </c>
      <c r="E30" s="291">
        <f t="shared" si="0"/>
        <v>100</v>
      </c>
      <c r="F30" s="292">
        <v>-8.9</v>
      </c>
      <c r="H30" s="296"/>
    </row>
    <row r="31" s="273" customFormat="1" ht="19.9" customHeight="1" spans="1:6">
      <c r="A31" s="297"/>
      <c r="B31" s="297"/>
      <c r="C31" s="297"/>
      <c r="D31" s="297"/>
      <c r="E31" s="297"/>
      <c r="F31" s="297"/>
    </row>
  </sheetData>
  <mergeCells count="3">
    <mergeCell ref="A2:F2"/>
    <mergeCell ref="E3:F3"/>
    <mergeCell ref="A31:F31"/>
  </mergeCells>
  <dataValidations count="1">
    <dataValidation type="whole" operator="between" allowBlank="1" showInputMessage="1" showErrorMessage="1" sqref="B5:D29">
      <formula1>-100000000000000000</formula1>
      <formula2>1000000000000000000</formula2>
    </dataValidation>
  </dataValidations>
  <pageMargins left="0.904861111111111" right="0.904861111111111" top="0.984027777777778" bottom="0.747916666666667" header="0.314583333333333" footer="0.314583333333333"/>
  <pageSetup paperSize="9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showZeros="0" workbookViewId="0">
      <selection activeCell="A3" sqref="A3:D3"/>
    </sheetView>
  </sheetViews>
  <sheetFormatPr defaultColWidth="9" defaultRowHeight="13.5" outlineLevelCol="3"/>
  <cols>
    <col min="1" max="1" width="35.5" style="189" customWidth="1"/>
    <col min="2" max="2" width="7.625" style="189" customWidth="1"/>
    <col min="3" max="3" width="35.5" style="189" customWidth="1"/>
    <col min="4" max="4" width="8.25" style="189" customWidth="1"/>
    <col min="5" max="16384" width="9" style="189"/>
  </cols>
  <sheetData>
    <row r="1" ht="24" customHeight="1" spans="1:1">
      <c r="A1" s="191" t="s">
        <v>63</v>
      </c>
    </row>
    <row r="2" ht="33" customHeight="1" spans="1:4">
      <c r="A2" s="247" t="s">
        <v>64</v>
      </c>
      <c r="B2" s="247"/>
      <c r="C2" s="247"/>
      <c r="D2" s="247"/>
    </row>
    <row r="3" ht="22.5" customHeight="1" spans="1:4">
      <c r="A3" s="248" t="s">
        <v>2</v>
      </c>
      <c r="B3" s="248"/>
      <c r="C3" s="248"/>
      <c r="D3" s="248"/>
    </row>
    <row r="4" ht="30" customHeight="1" spans="1:4">
      <c r="A4" s="249" t="s">
        <v>65</v>
      </c>
      <c r="B4" s="249" t="s">
        <v>66</v>
      </c>
      <c r="C4" s="249" t="s">
        <v>65</v>
      </c>
      <c r="D4" s="249" t="s">
        <v>66</v>
      </c>
    </row>
    <row r="5" ht="21.75" customHeight="1" spans="1:4">
      <c r="A5" s="270" t="s">
        <v>67</v>
      </c>
      <c r="B5" s="254">
        <f>'[1]L01'!C5</f>
        <v>46240</v>
      </c>
      <c r="C5" s="251" t="s">
        <v>68</v>
      </c>
      <c r="D5" s="254">
        <f>'[1]L02'!C5</f>
        <v>526668</v>
      </c>
    </row>
    <row r="6" ht="21.75" customHeight="1" spans="1:4">
      <c r="A6" s="270" t="s">
        <v>69</v>
      </c>
      <c r="B6" s="254">
        <f>SUM(B7,B14,B55)</f>
        <v>453709</v>
      </c>
      <c r="C6" s="251" t="s">
        <v>70</v>
      </c>
      <c r="D6" s="254">
        <f>SUM(D7,D14,D55)</f>
        <v>0</v>
      </c>
    </row>
    <row r="7" ht="21.75" customHeight="1" spans="1:4">
      <c r="A7" s="270" t="s">
        <v>71</v>
      </c>
      <c r="B7" s="254">
        <f>SUM(B8:B13)</f>
        <v>7400</v>
      </c>
      <c r="C7" s="251" t="s">
        <v>72</v>
      </c>
      <c r="D7" s="254">
        <f>SUM(D8:D13)</f>
        <v>0</v>
      </c>
    </row>
    <row r="8" ht="21.75" customHeight="1" spans="1:4">
      <c r="A8" s="269" t="s">
        <v>73</v>
      </c>
      <c r="B8" s="255">
        <v>327</v>
      </c>
      <c r="C8" s="253" t="s">
        <v>74</v>
      </c>
      <c r="D8" s="255"/>
    </row>
    <row r="9" ht="21.75" customHeight="1" spans="1:4">
      <c r="A9" s="269" t="s">
        <v>75</v>
      </c>
      <c r="B9" s="255">
        <v>1804</v>
      </c>
      <c r="C9" s="253" t="s">
        <v>76</v>
      </c>
      <c r="D9" s="255"/>
    </row>
    <row r="10" ht="21.75" customHeight="1" spans="1:4">
      <c r="A10" s="269" t="s">
        <v>77</v>
      </c>
      <c r="B10" s="255">
        <v>3077</v>
      </c>
      <c r="C10" s="253" t="s">
        <v>78</v>
      </c>
      <c r="D10" s="255"/>
    </row>
    <row r="11" ht="21.75" customHeight="1" spans="1:4">
      <c r="A11" s="269" t="s">
        <v>79</v>
      </c>
      <c r="B11" s="255">
        <v>15</v>
      </c>
      <c r="C11" s="253" t="s">
        <v>80</v>
      </c>
      <c r="D11" s="255"/>
    </row>
    <row r="12" ht="21.75" customHeight="1" spans="1:4">
      <c r="A12" s="269" t="s">
        <v>81</v>
      </c>
      <c r="B12" s="255">
        <v>3385</v>
      </c>
      <c r="C12" s="253" t="s">
        <v>82</v>
      </c>
      <c r="D12" s="255"/>
    </row>
    <row r="13" ht="21.75" customHeight="1" spans="1:4">
      <c r="A13" s="269" t="s">
        <v>83</v>
      </c>
      <c r="B13" s="255">
        <v>-1208</v>
      </c>
      <c r="C13" s="253" t="s">
        <v>84</v>
      </c>
      <c r="D13" s="255"/>
    </row>
    <row r="14" ht="21.75" customHeight="1" spans="1:4">
      <c r="A14" s="270" t="s">
        <v>85</v>
      </c>
      <c r="B14" s="254">
        <f>SUM(B15:B54)</f>
        <v>378677</v>
      </c>
      <c r="C14" s="251" t="s">
        <v>86</v>
      </c>
      <c r="D14" s="254">
        <f>SUM(D15:D54)</f>
        <v>0</v>
      </c>
    </row>
    <row r="15" ht="21.75" customHeight="1" spans="1:4">
      <c r="A15" s="269" t="s">
        <v>87</v>
      </c>
      <c r="B15" s="255">
        <v>0</v>
      </c>
      <c r="C15" s="253" t="s">
        <v>88</v>
      </c>
      <c r="D15" s="255"/>
    </row>
    <row r="16" ht="21.75" customHeight="1" spans="1:4">
      <c r="A16" s="269" t="s">
        <v>89</v>
      </c>
      <c r="B16" s="255">
        <v>92933</v>
      </c>
      <c r="C16" s="253" t="s">
        <v>90</v>
      </c>
      <c r="D16" s="255"/>
    </row>
    <row r="17" ht="21.75" customHeight="1" spans="1:4">
      <c r="A17" s="269" t="s">
        <v>91</v>
      </c>
      <c r="B17" s="255">
        <v>24620</v>
      </c>
      <c r="C17" s="253" t="s">
        <v>92</v>
      </c>
      <c r="D17" s="255"/>
    </row>
    <row r="18" ht="21.75" customHeight="1" spans="1:4">
      <c r="A18" s="269" t="s">
        <v>93</v>
      </c>
      <c r="B18" s="255">
        <f>12707</f>
        <v>12707</v>
      </c>
      <c r="C18" s="269" t="s">
        <v>94</v>
      </c>
      <c r="D18" s="255"/>
    </row>
    <row r="19" ht="21.75" customHeight="1" spans="1:4">
      <c r="A19" s="269" t="s">
        <v>95</v>
      </c>
      <c r="B19" s="255">
        <v>0</v>
      </c>
      <c r="C19" s="269" t="s">
        <v>96</v>
      </c>
      <c r="D19" s="255"/>
    </row>
    <row r="20" ht="21.75" customHeight="1" spans="1:4">
      <c r="A20" s="269" t="s">
        <v>97</v>
      </c>
      <c r="B20" s="255">
        <v>0</v>
      </c>
      <c r="C20" s="269" t="s">
        <v>98</v>
      </c>
      <c r="D20" s="255"/>
    </row>
    <row r="21" ht="21.75" customHeight="1" spans="1:4">
      <c r="A21" s="269" t="s">
        <v>99</v>
      </c>
      <c r="B21" s="255">
        <v>0</v>
      </c>
      <c r="C21" s="269" t="s">
        <v>100</v>
      </c>
      <c r="D21" s="255"/>
    </row>
    <row r="22" ht="21.75" customHeight="1" spans="1:4">
      <c r="A22" s="269" t="s">
        <v>101</v>
      </c>
      <c r="B22" s="255">
        <v>0</v>
      </c>
      <c r="C22" s="269" t="s">
        <v>102</v>
      </c>
      <c r="D22" s="255"/>
    </row>
    <row r="23" ht="21.75" customHeight="1" spans="1:4">
      <c r="A23" s="269" t="s">
        <v>103</v>
      </c>
      <c r="B23" s="255">
        <v>0</v>
      </c>
      <c r="C23" s="269" t="s">
        <v>104</v>
      </c>
      <c r="D23" s="255"/>
    </row>
    <row r="24" ht="21.75" customHeight="1" spans="1:4">
      <c r="A24" s="269" t="s">
        <v>105</v>
      </c>
      <c r="B24" s="255">
        <v>0</v>
      </c>
      <c r="C24" s="269" t="s">
        <v>106</v>
      </c>
      <c r="D24" s="255"/>
    </row>
    <row r="25" ht="21.75" customHeight="1" spans="1:4">
      <c r="A25" s="269" t="s">
        <v>107</v>
      </c>
      <c r="B25" s="255">
        <v>0</v>
      </c>
      <c r="C25" s="269" t="s">
        <v>108</v>
      </c>
      <c r="D25" s="255"/>
    </row>
    <row r="26" ht="21.75" customHeight="1" spans="1:4">
      <c r="A26" s="269" t="s">
        <v>109</v>
      </c>
      <c r="B26" s="255">
        <v>1823</v>
      </c>
      <c r="C26" s="269" t="s">
        <v>110</v>
      </c>
      <c r="D26" s="255"/>
    </row>
    <row r="27" ht="21.75" customHeight="1" spans="1:4">
      <c r="A27" s="269" t="s">
        <v>111</v>
      </c>
      <c r="B27" s="255">
        <v>4763</v>
      </c>
      <c r="C27" s="269" t="s">
        <v>112</v>
      </c>
      <c r="D27" s="255"/>
    </row>
    <row r="28" ht="21.75" customHeight="1" spans="1:4">
      <c r="A28" s="269" t="s">
        <v>113</v>
      </c>
      <c r="B28" s="255">
        <v>5555</v>
      </c>
      <c r="C28" s="269" t="s">
        <v>114</v>
      </c>
      <c r="D28" s="255"/>
    </row>
    <row r="29" ht="21.75" customHeight="1" spans="1:4">
      <c r="A29" s="269" t="s">
        <v>115</v>
      </c>
      <c r="B29" s="255">
        <v>26602</v>
      </c>
      <c r="C29" s="269" t="s">
        <v>116</v>
      </c>
      <c r="D29" s="255"/>
    </row>
    <row r="30" ht="21.75" customHeight="1" spans="1:4">
      <c r="A30" s="269" t="s">
        <v>117</v>
      </c>
      <c r="B30" s="255">
        <v>3299</v>
      </c>
      <c r="C30" s="269" t="s">
        <v>118</v>
      </c>
      <c r="D30" s="255"/>
    </row>
    <row r="31" ht="21.75" customHeight="1" spans="1:4">
      <c r="A31" s="269" t="s">
        <v>119</v>
      </c>
      <c r="B31" s="255">
        <v>0</v>
      </c>
      <c r="C31" s="269" t="s">
        <v>120</v>
      </c>
      <c r="D31" s="255"/>
    </row>
    <row r="32" ht="21.75" customHeight="1" spans="1:4">
      <c r="A32" s="269" t="s">
        <v>121</v>
      </c>
      <c r="B32" s="255">
        <v>0</v>
      </c>
      <c r="C32" s="269" t="s">
        <v>122</v>
      </c>
      <c r="D32" s="255"/>
    </row>
    <row r="33" ht="21.75" customHeight="1" spans="1:4">
      <c r="A33" s="269" t="s">
        <v>123</v>
      </c>
      <c r="B33" s="255">
        <v>22240</v>
      </c>
      <c r="C33" s="269" t="s">
        <v>124</v>
      </c>
      <c r="D33" s="255"/>
    </row>
    <row r="34" ht="21.75" customHeight="1" spans="1:4">
      <c r="A34" s="269" t="s">
        <v>125</v>
      </c>
      <c r="B34" s="255">
        <v>0</v>
      </c>
      <c r="C34" s="269" t="s">
        <v>126</v>
      </c>
      <c r="D34" s="255"/>
    </row>
    <row r="35" ht="21.75" customHeight="1" spans="1:4">
      <c r="A35" s="269" t="s">
        <v>127</v>
      </c>
      <c r="B35" s="255">
        <v>0</v>
      </c>
      <c r="C35" s="269" t="s">
        <v>128</v>
      </c>
      <c r="D35" s="255"/>
    </row>
    <row r="36" ht="21.75" customHeight="1" spans="1:4">
      <c r="A36" s="269" t="s">
        <v>129</v>
      </c>
      <c r="B36" s="255">
        <v>0</v>
      </c>
      <c r="C36" s="269" t="s">
        <v>130</v>
      </c>
      <c r="D36" s="255"/>
    </row>
    <row r="37" ht="21.75" customHeight="1" spans="1:4">
      <c r="A37" s="269" t="s">
        <v>131</v>
      </c>
      <c r="B37" s="255">
        <v>2187</v>
      </c>
      <c r="C37" s="269" t="s">
        <v>132</v>
      </c>
      <c r="D37" s="255"/>
    </row>
    <row r="38" ht="21.75" customHeight="1" spans="1:4">
      <c r="A38" s="269" t="s">
        <v>133</v>
      </c>
      <c r="B38" s="255">
        <v>29152</v>
      </c>
      <c r="C38" s="269" t="s">
        <v>134</v>
      </c>
      <c r="D38" s="255"/>
    </row>
    <row r="39" ht="21.75" customHeight="1" spans="1:4">
      <c r="A39" s="269" t="s">
        <v>135</v>
      </c>
      <c r="B39" s="255">
        <v>100</v>
      </c>
      <c r="C39" s="269" t="s">
        <v>136</v>
      </c>
      <c r="D39" s="255"/>
    </row>
    <row r="40" ht="21.75" customHeight="1" spans="1:4">
      <c r="A40" s="269" t="s">
        <v>137</v>
      </c>
      <c r="B40" s="255">
        <v>2054</v>
      </c>
      <c r="C40" s="269" t="s">
        <v>138</v>
      </c>
      <c r="D40" s="255"/>
    </row>
    <row r="41" ht="21.75" customHeight="1" spans="1:4">
      <c r="A41" s="269" t="s">
        <v>139</v>
      </c>
      <c r="B41" s="255">
        <v>40930</v>
      </c>
      <c r="C41" s="269" t="s">
        <v>140</v>
      </c>
      <c r="D41" s="255"/>
    </row>
    <row r="42" ht="21.75" customHeight="1" spans="1:4">
      <c r="A42" s="269" t="s">
        <v>141</v>
      </c>
      <c r="B42" s="255">
        <v>11611</v>
      </c>
      <c r="C42" s="269" t="s">
        <v>142</v>
      </c>
      <c r="D42" s="255"/>
    </row>
    <row r="43" ht="21.75" customHeight="1" spans="1:4">
      <c r="A43" s="269" t="s">
        <v>143</v>
      </c>
      <c r="B43" s="255">
        <v>3853</v>
      </c>
      <c r="C43" s="269" t="s">
        <v>144</v>
      </c>
      <c r="D43" s="255"/>
    </row>
    <row r="44" ht="21.75" customHeight="1" spans="1:4">
      <c r="A44" s="269" t="s">
        <v>145</v>
      </c>
      <c r="B44" s="255">
        <v>0</v>
      </c>
      <c r="C44" s="269" t="s">
        <v>146</v>
      </c>
      <c r="D44" s="255"/>
    </row>
    <row r="45" ht="21.75" customHeight="1" spans="1:4">
      <c r="A45" s="269" t="s">
        <v>147</v>
      </c>
      <c r="B45" s="255">
        <v>33915</v>
      </c>
      <c r="C45" s="269" t="s">
        <v>148</v>
      </c>
      <c r="D45" s="255"/>
    </row>
    <row r="46" ht="21.75" customHeight="1" spans="1:4">
      <c r="A46" s="269" t="s">
        <v>149</v>
      </c>
      <c r="B46" s="255">
        <v>37786</v>
      </c>
      <c r="C46" s="269" t="s">
        <v>150</v>
      </c>
      <c r="D46" s="255"/>
    </row>
    <row r="47" ht="21.75" customHeight="1" spans="1:4">
      <c r="A47" s="269" t="s">
        <v>151</v>
      </c>
      <c r="B47" s="255">
        <v>0</v>
      </c>
      <c r="C47" s="269" t="s">
        <v>152</v>
      </c>
      <c r="D47" s="255"/>
    </row>
    <row r="48" ht="21.75" customHeight="1" spans="1:4">
      <c r="A48" s="269" t="s">
        <v>153</v>
      </c>
      <c r="B48" s="255">
        <v>0</v>
      </c>
      <c r="C48" s="269" t="s">
        <v>154</v>
      </c>
      <c r="D48" s="255"/>
    </row>
    <row r="49" ht="21.75" customHeight="1" spans="1:4">
      <c r="A49" s="269" t="s">
        <v>155</v>
      </c>
      <c r="B49" s="255">
        <v>0</v>
      </c>
      <c r="C49" s="269" t="s">
        <v>156</v>
      </c>
      <c r="D49" s="255"/>
    </row>
    <row r="50" ht="21.75" customHeight="1" spans="1:4">
      <c r="A50" s="269" t="s">
        <v>157</v>
      </c>
      <c r="B50" s="255">
        <v>0</v>
      </c>
      <c r="C50" s="269" t="s">
        <v>158</v>
      </c>
      <c r="D50" s="255"/>
    </row>
    <row r="51" ht="21.75" customHeight="1" spans="1:4">
      <c r="A51" s="269" t="s">
        <v>159</v>
      </c>
      <c r="B51" s="255">
        <v>18298</v>
      </c>
      <c r="C51" s="269" t="s">
        <v>160</v>
      </c>
      <c r="D51" s="255"/>
    </row>
    <row r="52" ht="21.75" customHeight="1" spans="1:4">
      <c r="A52" s="269" t="s">
        <v>161</v>
      </c>
      <c r="B52" s="255">
        <v>0</v>
      </c>
      <c r="C52" s="269" t="s">
        <v>162</v>
      </c>
      <c r="D52" s="255"/>
    </row>
    <row r="53" ht="21.75" customHeight="1" spans="1:4">
      <c r="A53" s="269" t="s">
        <v>163</v>
      </c>
      <c r="B53" s="255">
        <v>1383</v>
      </c>
      <c r="C53" s="269" t="s">
        <v>164</v>
      </c>
      <c r="D53" s="255"/>
    </row>
    <row r="54" ht="21.75" customHeight="1" spans="1:4">
      <c r="A54" s="269" t="s">
        <v>165</v>
      </c>
      <c r="B54" s="255">
        <v>2866</v>
      </c>
      <c r="C54" s="269" t="s">
        <v>166</v>
      </c>
      <c r="D54" s="255"/>
    </row>
    <row r="55" ht="21.75" customHeight="1" spans="1:4">
      <c r="A55" s="270" t="s">
        <v>167</v>
      </c>
      <c r="B55" s="254">
        <f>SUM(B56:B76)</f>
        <v>67632</v>
      </c>
      <c r="C55" s="270" t="s">
        <v>168</v>
      </c>
      <c r="D55" s="254">
        <f>SUM(D56:D76)</f>
        <v>0</v>
      </c>
    </row>
    <row r="56" ht="21.75" customHeight="1" spans="1:4">
      <c r="A56" s="269" t="s">
        <v>169</v>
      </c>
      <c r="B56" s="255">
        <v>131</v>
      </c>
      <c r="C56" s="269" t="s">
        <v>169</v>
      </c>
      <c r="D56" s="255"/>
    </row>
    <row r="57" ht="21.75" customHeight="1" spans="1:4">
      <c r="A57" s="269" t="s">
        <v>170</v>
      </c>
      <c r="B57" s="255">
        <v>0</v>
      </c>
      <c r="C57" s="269" t="s">
        <v>170</v>
      </c>
      <c r="D57" s="255"/>
    </row>
    <row r="58" ht="21.75" customHeight="1" spans="1:4">
      <c r="A58" s="269" t="s">
        <v>171</v>
      </c>
      <c r="B58" s="255">
        <v>3</v>
      </c>
      <c r="C58" s="269" t="s">
        <v>171</v>
      </c>
      <c r="D58" s="255"/>
    </row>
    <row r="59" ht="21.75" customHeight="1" spans="1:4">
      <c r="A59" s="269" t="s">
        <v>172</v>
      </c>
      <c r="B59" s="255">
        <v>2764</v>
      </c>
      <c r="C59" s="269" t="s">
        <v>172</v>
      </c>
      <c r="D59" s="255"/>
    </row>
    <row r="60" ht="21.75" customHeight="1" spans="1:4">
      <c r="A60" s="269" t="s">
        <v>173</v>
      </c>
      <c r="B60" s="255">
        <v>823</v>
      </c>
      <c r="C60" s="269" t="s">
        <v>173</v>
      </c>
      <c r="D60" s="255"/>
    </row>
    <row r="61" ht="21.75" customHeight="1" spans="1:4">
      <c r="A61" s="269" t="s">
        <v>174</v>
      </c>
      <c r="B61" s="255">
        <v>369</v>
      </c>
      <c r="C61" s="269" t="s">
        <v>174</v>
      </c>
      <c r="D61" s="255"/>
    </row>
    <row r="62" ht="21.75" customHeight="1" spans="1:4">
      <c r="A62" s="269" t="s">
        <v>175</v>
      </c>
      <c r="B62" s="255">
        <v>3064</v>
      </c>
      <c r="C62" s="269" t="s">
        <v>175</v>
      </c>
      <c r="D62" s="255"/>
    </row>
    <row r="63" ht="21.75" customHeight="1" spans="1:4">
      <c r="A63" s="269" t="s">
        <v>176</v>
      </c>
      <c r="B63" s="255">
        <v>5117</v>
      </c>
      <c r="C63" s="269" t="s">
        <v>176</v>
      </c>
      <c r="D63" s="255"/>
    </row>
    <row r="64" ht="21.75" customHeight="1" spans="1:4">
      <c r="A64" s="269" t="s">
        <v>177</v>
      </c>
      <c r="B64" s="255">
        <v>254</v>
      </c>
      <c r="C64" s="269" t="s">
        <v>177</v>
      </c>
      <c r="D64" s="255"/>
    </row>
    <row r="65" ht="21.75" customHeight="1" spans="1:4">
      <c r="A65" s="269" t="s">
        <v>178</v>
      </c>
      <c r="B65" s="255">
        <v>4398</v>
      </c>
      <c r="C65" s="269" t="s">
        <v>178</v>
      </c>
      <c r="D65" s="255"/>
    </row>
    <row r="66" ht="21.75" customHeight="1" spans="1:4">
      <c r="A66" s="269" t="s">
        <v>179</v>
      </c>
      <c r="B66" s="255">
        <v>1089</v>
      </c>
      <c r="C66" s="269" t="s">
        <v>179</v>
      </c>
      <c r="D66" s="255"/>
    </row>
    <row r="67" ht="21.75" customHeight="1" spans="1:4">
      <c r="A67" s="269" t="s">
        <v>180</v>
      </c>
      <c r="B67" s="255">
        <v>20837</v>
      </c>
      <c r="C67" s="269" t="s">
        <v>180</v>
      </c>
      <c r="D67" s="255"/>
    </row>
    <row r="68" ht="21.75" customHeight="1" spans="1:4">
      <c r="A68" s="269" t="s">
        <v>181</v>
      </c>
      <c r="B68" s="255">
        <v>2567</v>
      </c>
      <c r="C68" s="269" t="s">
        <v>181</v>
      </c>
      <c r="D68" s="255"/>
    </row>
    <row r="69" ht="21.75" customHeight="1" spans="1:4">
      <c r="A69" s="269" t="s">
        <v>182</v>
      </c>
      <c r="B69" s="255">
        <v>1812</v>
      </c>
      <c r="C69" s="269" t="s">
        <v>182</v>
      </c>
      <c r="D69" s="255"/>
    </row>
    <row r="70" ht="21.75" customHeight="1" spans="1:4">
      <c r="A70" s="269" t="s">
        <v>183</v>
      </c>
      <c r="B70" s="255">
        <v>-419</v>
      </c>
      <c r="C70" s="269" t="s">
        <v>183</v>
      </c>
      <c r="D70" s="255"/>
    </row>
    <row r="71" ht="21.75" customHeight="1" spans="1:4">
      <c r="A71" s="269" t="s">
        <v>184</v>
      </c>
      <c r="B71" s="255">
        <v>247</v>
      </c>
      <c r="C71" s="269" t="s">
        <v>184</v>
      </c>
      <c r="D71" s="255"/>
    </row>
    <row r="72" ht="21.75" customHeight="1" spans="1:4">
      <c r="A72" s="269" t="s">
        <v>185</v>
      </c>
      <c r="B72" s="255">
        <v>15</v>
      </c>
      <c r="C72" s="269" t="s">
        <v>185</v>
      </c>
      <c r="D72" s="255"/>
    </row>
    <row r="73" ht="21.75" customHeight="1" spans="1:4">
      <c r="A73" s="269" t="s">
        <v>186</v>
      </c>
      <c r="B73" s="255">
        <v>16901</v>
      </c>
      <c r="C73" s="269" t="s">
        <v>186</v>
      </c>
      <c r="D73" s="255"/>
    </row>
    <row r="74" ht="21.75" customHeight="1" spans="1:4">
      <c r="A74" s="269" t="s">
        <v>187</v>
      </c>
      <c r="B74" s="255">
        <v>900</v>
      </c>
      <c r="C74" s="269" t="s">
        <v>187</v>
      </c>
      <c r="D74" s="255"/>
    </row>
    <row r="75" ht="21.75" customHeight="1" spans="1:4">
      <c r="A75" s="269" t="s">
        <v>188</v>
      </c>
      <c r="B75" s="255">
        <v>2701</v>
      </c>
      <c r="C75" s="269" t="s">
        <v>188</v>
      </c>
      <c r="D75" s="255"/>
    </row>
    <row r="76" ht="21.75" customHeight="1" spans="1:4">
      <c r="A76" s="269" t="s">
        <v>33</v>
      </c>
      <c r="B76" s="255">
        <v>4059</v>
      </c>
      <c r="C76" s="269" t="s">
        <v>189</v>
      </c>
      <c r="D76" s="255"/>
    </row>
    <row r="77" ht="21.75" customHeight="1" spans="1:4">
      <c r="A77" s="270" t="s">
        <v>190</v>
      </c>
      <c r="B77" s="254">
        <f>SUM(B78:B79)</f>
        <v>0</v>
      </c>
      <c r="C77" s="270" t="s">
        <v>191</v>
      </c>
      <c r="D77" s="254">
        <f>SUM(D78:D79)</f>
        <v>11039</v>
      </c>
    </row>
    <row r="78" ht="21.75" customHeight="1" spans="1:4">
      <c r="A78" s="269" t="s">
        <v>192</v>
      </c>
      <c r="B78" s="255">
        <v>0</v>
      </c>
      <c r="C78" s="269" t="s">
        <v>193</v>
      </c>
      <c r="D78" s="255">
        <v>11</v>
      </c>
    </row>
    <row r="79" ht="21.75" customHeight="1" spans="1:4">
      <c r="A79" s="269" t="s">
        <v>194</v>
      </c>
      <c r="B79" s="255">
        <v>0</v>
      </c>
      <c r="C79" s="269" t="s">
        <v>195</v>
      </c>
      <c r="D79" s="255">
        <v>11028</v>
      </c>
    </row>
    <row r="80" ht="21.75" customHeight="1" spans="1:4">
      <c r="A80" s="270" t="s">
        <v>196</v>
      </c>
      <c r="B80" s="254">
        <v>0</v>
      </c>
      <c r="C80" s="269"/>
      <c r="D80" s="254"/>
    </row>
    <row r="81" ht="21.75" customHeight="1" spans="1:4">
      <c r="A81" s="270" t="s">
        <v>197</v>
      </c>
      <c r="B81" s="254">
        <v>239</v>
      </c>
      <c r="C81" s="269"/>
      <c r="D81" s="254"/>
    </row>
    <row r="82" ht="21.75" customHeight="1" spans="1:4">
      <c r="A82" s="270" t="s">
        <v>198</v>
      </c>
      <c r="B82" s="254">
        <f>SUM(B83:B85)</f>
        <v>23574</v>
      </c>
      <c r="C82" s="270" t="s">
        <v>199</v>
      </c>
      <c r="D82" s="254"/>
    </row>
    <row r="83" ht="21.75" customHeight="1" spans="1:4">
      <c r="A83" s="269" t="s">
        <v>200</v>
      </c>
      <c r="B83" s="254">
        <v>22000</v>
      </c>
      <c r="C83" s="269"/>
      <c r="D83" s="254"/>
    </row>
    <row r="84" ht="21.75" customHeight="1" spans="1:4">
      <c r="A84" s="269" t="s">
        <v>201</v>
      </c>
      <c r="B84" s="254">
        <v>650</v>
      </c>
      <c r="C84" s="269"/>
      <c r="D84" s="254"/>
    </row>
    <row r="85" ht="21.75" customHeight="1" spans="1:4">
      <c r="A85" s="269" t="s">
        <v>202</v>
      </c>
      <c r="B85" s="254">
        <v>924</v>
      </c>
      <c r="C85" s="269"/>
      <c r="D85" s="254"/>
    </row>
    <row r="86" ht="21.75" customHeight="1" spans="1:4">
      <c r="A86" s="270" t="s">
        <v>203</v>
      </c>
      <c r="B86" s="254">
        <f>B87</f>
        <v>0</v>
      </c>
      <c r="C86" s="270" t="s">
        <v>204</v>
      </c>
      <c r="D86" s="254">
        <f>D87</f>
        <v>112520</v>
      </c>
    </row>
    <row r="87" ht="21.75" customHeight="1" spans="1:4">
      <c r="A87" s="270" t="s">
        <v>205</v>
      </c>
      <c r="B87" s="254">
        <f>B88</f>
        <v>0</v>
      </c>
      <c r="C87" s="270" t="s">
        <v>206</v>
      </c>
      <c r="D87" s="254">
        <f>SUM(D88:D91)</f>
        <v>112520</v>
      </c>
    </row>
    <row r="88" ht="24" customHeight="1" spans="1:4">
      <c r="A88" s="270" t="s">
        <v>207</v>
      </c>
      <c r="B88" s="254">
        <f>SUM(B89:B92)</f>
        <v>0</v>
      </c>
      <c r="C88" s="269" t="s">
        <v>208</v>
      </c>
      <c r="D88" s="254">
        <v>112520</v>
      </c>
    </row>
    <row r="89" ht="24" customHeight="1" spans="1:4">
      <c r="A89" s="269" t="s">
        <v>209</v>
      </c>
      <c r="B89" s="254">
        <v>0</v>
      </c>
      <c r="C89" s="269" t="s">
        <v>210</v>
      </c>
      <c r="D89" s="254"/>
    </row>
    <row r="90" ht="24" customHeight="1" spans="1:4">
      <c r="A90" s="269" t="s">
        <v>211</v>
      </c>
      <c r="B90" s="254">
        <v>0</v>
      </c>
      <c r="C90" s="269" t="s">
        <v>212</v>
      </c>
      <c r="D90" s="254"/>
    </row>
    <row r="91" ht="24" customHeight="1" spans="1:4">
      <c r="A91" s="269" t="s">
        <v>213</v>
      </c>
      <c r="B91" s="254">
        <v>0</v>
      </c>
      <c r="C91" s="269" t="s">
        <v>214</v>
      </c>
      <c r="D91" s="254"/>
    </row>
    <row r="92" ht="24" customHeight="1" spans="1:4">
      <c r="A92" s="269" t="s">
        <v>215</v>
      </c>
      <c r="B92" s="254">
        <v>0</v>
      </c>
      <c r="C92" s="269"/>
      <c r="D92" s="254"/>
    </row>
    <row r="93" ht="24" customHeight="1" spans="1:4">
      <c r="A93" s="270" t="s">
        <v>216</v>
      </c>
      <c r="B93" s="254">
        <f>B94</f>
        <v>122724</v>
      </c>
      <c r="C93" s="270" t="s">
        <v>217</v>
      </c>
      <c r="D93" s="254">
        <f>SUM(D94:D97)</f>
        <v>0</v>
      </c>
    </row>
    <row r="94" ht="24" customHeight="1" spans="1:4">
      <c r="A94" s="270" t="s">
        <v>218</v>
      </c>
      <c r="B94" s="254">
        <f>SUM(B95:B98)</f>
        <v>122724</v>
      </c>
      <c r="C94" s="269" t="s">
        <v>219</v>
      </c>
      <c r="D94" s="255"/>
    </row>
    <row r="95" ht="24" customHeight="1" spans="1:4">
      <c r="A95" s="269" t="s">
        <v>220</v>
      </c>
      <c r="B95" s="255">
        <v>122724</v>
      </c>
      <c r="C95" s="269" t="s">
        <v>221</v>
      </c>
      <c r="D95" s="255"/>
    </row>
    <row r="96" ht="24" customHeight="1" spans="1:4">
      <c r="A96" s="269" t="s">
        <v>222</v>
      </c>
      <c r="B96" s="255">
        <v>0</v>
      </c>
      <c r="C96" s="269" t="s">
        <v>223</v>
      </c>
      <c r="D96" s="255"/>
    </row>
    <row r="97" ht="24" customHeight="1" spans="1:4">
      <c r="A97" s="269" t="s">
        <v>224</v>
      </c>
      <c r="B97" s="255">
        <v>0</v>
      </c>
      <c r="C97" s="269" t="s">
        <v>225</v>
      </c>
      <c r="D97" s="255"/>
    </row>
    <row r="98" ht="24" customHeight="1" spans="1:4">
      <c r="A98" s="269" t="s">
        <v>226</v>
      </c>
      <c r="B98" s="255">
        <v>0</v>
      </c>
      <c r="C98" s="269"/>
      <c r="D98" s="254"/>
    </row>
    <row r="99" ht="24" customHeight="1" spans="1:4">
      <c r="A99" s="270" t="s">
        <v>227</v>
      </c>
      <c r="B99" s="255">
        <v>0</v>
      </c>
      <c r="C99" s="270" t="s">
        <v>228</v>
      </c>
      <c r="D99" s="254"/>
    </row>
    <row r="100" ht="24" customHeight="1" spans="1:4">
      <c r="A100" s="270" t="s">
        <v>229</v>
      </c>
      <c r="B100" s="254">
        <v>0</v>
      </c>
      <c r="C100" s="270" t="s">
        <v>230</v>
      </c>
      <c r="D100" s="254"/>
    </row>
    <row r="101" ht="24" customHeight="1" spans="1:4">
      <c r="A101" s="270" t="s">
        <v>231</v>
      </c>
      <c r="B101" s="255">
        <v>0</v>
      </c>
      <c r="C101" s="270" t="s">
        <v>232</v>
      </c>
      <c r="D101" s="254"/>
    </row>
    <row r="102" ht="24" customHeight="1" spans="1:4">
      <c r="A102" s="270" t="s">
        <v>233</v>
      </c>
      <c r="B102" s="254">
        <v>131</v>
      </c>
      <c r="C102" s="270" t="s">
        <v>234</v>
      </c>
      <c r="D102" s="254">
        <v>160</v>
      </c>
    </row>
    <row r="103" ht="24" customHeight="1" spans="1:4">
      <c r="A103" s="270" t="s">
        <v>235</v>
      </c>
      <c r="B103" s="254">
        <f>SUM(B104:B106)</f>
        <v>3770</v>
      </c>
      <c r="C103" s="270" t="s">
        <v>236</v>
      </c>
      <c r="D103" s="254">
        <f>SUM(D104:D106)</f>
        <v>0</v>
      </c>
    </row>
    <row r="104" ht="24" customHeight="1" spans="1:4">
      <c r="A104" s="269" t="s">
        <v>237</v>
      </c>
      <c r="B104" s="254">
        <v>3770</v>
      </c>
      <c r="C104" s="269" t="s">
        <v>238</v>
      </c>
      <c r="D104" s="254"/>
    </row>
    <row r="105" ht="24" customHeight="1" spans="1:4">
      <c r="A105" s="269" t="s">
        <v>239</v>
      </c>
      <c r="B105" s="255">
        <v>0</v>
      </c>
      <c r="C105" s="269" t="s">
        <v>240</v>
      </c>
      <c r="D105" s="255"/>
    </row>
    <row r="106" ht="24" customHeight="1" spans="1:4">
      <c r="A106" s="269" t="s">
        <v>241</v>
      </c>
      <c r="B106" s="255">
        <v>0</v>
      </c>
      <c r="C106" s="269" t="s">
        <v>242</v>
      </c>
      <c r="D106" s="255"/>
    </row>
    <row r="107" ht="24" customHeight="1" spans="1:4">
      <c r="A107" s="270" t="s">
        <v>243</v>
      </c>
      <c r="B107" s="255">
        <v>0</v>
      </c>
      <c r="C107" s="270" t="s">
        <v>244</v>
      </c>
      <c r="D107" s="255"/>
    </row>
    <row r="108" ht="24" customHeight="1" spans="1:4">
      <c r="A108" s="270" t="s">
        <v>245</v>
      </c>
      <c r="B108" s="255">
        <v>0</v>
      </c>
      <c r="C108" s="270" t="s">
        <v>246</v>
      </c>
      <c r="D108" s="255"/>
    </row>
    <row r="109" ht="24" customHeight="1" spans="1:4">
      <c r="A109" s="269"/>
      <c r="B109" s="254"/>
      <c r="C109" s="270" t="s">
        <v>247</v>
      </c>
      <c r="D109" s="254"/>
    </row>
    <row r="110" ht="24" customHeight="1" spans="1:4">
      <c r="A110" s="269"/>
      <c r="B110" s="254"/>
      <c r="C110" s="270" t="s">
        <v>248</v>
      </c>
      <c r="D110" s="254">
        <f>B113-D5-D6-D77-D82-D86-D93-D99-D100-D101-D102-D103-D107-D108-D109</f>
        <v>0</v>
      </c>
    </row>
    <row r="111" ht="24" customHeight="1" spans="1:4">
      <c r="A111" s="269"/>
      <c r="B111" s="254"/>
      <c r="C111" s="270" t="s">
        <v>249</v>
      </c>
      <c r="D111" s="254"/>
    </row>
    <row r="112" ht="24" customHeight="1" spans="1:4">
      <c r="A112" s="269"/>
      <c r="B112" s="254"/>
      <c r="C112" s="270" t="s">
        <v>250</v>
      </c>
      <c r="D112" s="254">
        <f>D110-D111</f>
        <v>0</v>
      </c>
    </row>
    <row r="113" ht="24" customHeight="1" spans="1:4">
      <c r="A113" s="249" t="s">
        <v>251</v>
      </c>
      <c r="B113" s="254">
        <f>SUM(B5:B6,B77,B80:B82,B86,B93,B99:B103,B107:B108)</f>
        <v>650387</v>
      </c>
      <c r="C113" s="249" t="s">
        <v>252</v>
      </c>
      <c r="D113" s="254">
        <f>SUM(D5:D6,D77,D82,D86,D93,D99:D103,D107:D110)</f>
        <v>650387</v>
      </c>
    </row>
  </sheetData>
  <mergeCells count="2">
    <mergeCell ref="A2:D2"/>
    <mergeCell ref="A3:D3"/>
  </mergeCells>
  <dataValidations count="1">
    <dataValidation type="whole" operator="between" allowBlank="1" showInputMessage="1" showErrorMessage="1" sqref="B75:B76">
      <formula1>-10000000000000000000</formula1>
      <formula2>100000000000000000000</formula2>
    </dataValidation>
  </dataValidations>
  <pageMargins left="0.786805555555556" right="0.786805555555556" top="0.984027777777778" bottom="0.747916666666667" header="0.314583333333333" footer="0.314583333333333"/>
  <pageSetup paperSize="9" orientation="portrait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showZeros="0" workbookViewId="0">
      <selection activeCell="C3" sqref="C3:D3"/>
    </sheetView>
  </sheetViews>
  <sheetFormatPr defaultColWidth="9" defaultRowHeight="13.5" outlineLevelCol="3"/>
  <cols>
    <col min="1" max="1" width="48.625" style="189" customWidth="1"/>
    <col min="2" max="4" width="11.75" style="189" customWidth="1"/>
    <col min="5" max="16384" width="9" style="189"/>
  </cols>
  <sheetData>
    <row r="1" spans="1:1">
      <c r="A1" s="191" t="s">
        <v>253</v>
      </c>
    </row>
    <row r="2" ht="36.75" customHeight="1" spans="1:4">
      <c r="A2" s="247" t="s">
        <v>254</v>
      </c>
      <c r="B2" s="247"/>
      <c r="C2" s="247"/>
      <c r="D2" s="247"/>
    </row>
    <row r="3" ht="23.25" customHeight="1" spans="1:4">
      <c r="A3" s="267"/>
      <c r="B3" s="267"/>
      <c r="C3" s="268" t="s">
        <v>255</v>
      </c>
      <c r="D3" s="268"/>
    </row>
    <row r="4" ht="41.25" customHeight="1" spans="1:4">
      <c r="A4" s="249" t="s">
        <v>256</v>
      </c>
      <c r="B4" s="264" t="s">
        <v>4</v>
      </c>
      <c r="C4" s="264" t="s">
        <v>5</v>
      </c>
      <c r="D4" s="264" t="s">
        <v>6</v>
      </c>
    </row>
    <row r="5" ht="26.25" customHeight="1" spans="1:4">
      <c r="A5" s="249" t="s">
        <v>257</v>
      </c>
      <c r="B5" s="249">
        <f>B18+B34+B47</f>
        <v>71800</v>
      </c>
      <c r="C5" s="249">
        <f>C18+C34+C47</f>
        <v>71800</v>
      </c>
      <c r="D5" s="249">
        <f>D18+D34+D47</f>
        <v>72324</v>
      </c>
    </row>
    <row r="6" ht="26.25" customHeight="1" spans="1:4">
      <c r="A6" s="251" t="s">
        <v>258</v>
      </c>
      <c r="B6" s="251"/>
      <c r="C6" s="251"/>
      <c r="D6" s="254"/>
    </row>
    <row r="7" ht="26.25" customHeight="1" spans="1:4">
      <c r="A7" s="251" t="s">
        <v>259</v>
      </c>
      <c r="B7" s="251"/>
      <c r="C7" s="251"/>
      <c r="D7" s="254"/>
    </row>
    <row r="8" ht="26.25" customHeight="1" spans="1:4">
      <c r="A8" s="253" t="s">
        <v>260</v>
      </c>
      <c r="B8" s="253"/>
      <c r="C8" s="253"/>
      <c r="D8" s="254"/>
    </row>
    <row r="9" ht="26.25" customHeight="1" spans="1:4">
      <c r="A9" s="253" t="s">
        <v>261</v>
      </c>
      <c r="B9" s="253"/>
      <c r="C9" s="253"/>
      <c r="D9" s="254"/>
    </row>
    <row r="10" ht="26.25" customHeight="1" spans="1:4">
      <c r="A10" s="251" t="s">
        <v>262</v>
      </c>
      <c r="B10" s="251"/>
      <c r="C10" s="251"/>
      <c r="D10" s="254"/>
    </row>
    <row r="11" ht="26.25" customHeight="1" spans="1:4">
      <c r="A11" s="251" t="s">
        <v>263</v>
      </c>
      <c r="B11" s="251"/>
      <c r="C11" s="251"/>
      <c r="D11" s="254"/>
    </row>
    <row r="12" ht="26.25" customHeight="1" spans="1:4">
      <c r="A12" s="251" t="s">
        <v>264</v>
      </c>
      <c r="B12" s="251"/>
      <c r="C12" s="251"/>
      <c r="D12" s="254"/>
    </row>
    <row r="13" ht="26.25" customHeight="1" spans="1:4">
      <c r="A13" s="251" t="s">
        <v>265</v>
      </c>
      <c r="B13" s="251"/>
      <c r="C13" s="251"/>
      <c r="D13" s="254"/>
    </row>
    <row r="14" ht="26.25" customHeight="1" spans="1:4">
      <c r="A14" s="251" t="s">
        <v>266</v>
      </c>
      <c r="B14" s="251"/>
      <c r="C14" s="251"/>
      <c r="D14" s="254"/>
    </row>
    <row r="15" ht="26.25" customHeight="1" spans="1:4">
      <c r="A15" s="251" t="s">
        <v>267</v>
      </c>
      <c r="B15" s="251"/>
      <c r="C15" s="251"/>
      <c r="D15" s="254"/>
    </row>
    <row r="16" ht="26.25" customHeight="1" spans="1:4">
      <c r="A16" s="251" t="s">
        <v>268</v>
      </c>
      <c r="B16" s="251"/>
      <c r="C16" s="251"/>
      <c r="D16" s="254"/>
    </row>
    <row r="17" ht="26.25" customHeight="1" spans="1:4">
      <c r="A17" s="251" t="s">
        <v>269</v>
      </c>
      <c r="B17" s="251"/>
      <c r="C17" s="251"/>
      <c r="D17" s="254"/>
    </row>
    <row r="18" ht="26.25" customHeight="1" spans="1:4">
      <c r="A18" s="251" t="s">
        <v>270</v>
      </c>
      <c r="B18" s="253">
        <v>70000</v>
      </c>
      <c r="C18" s="253">
        <v>70000</v>
      </c>
      <c r="D18" s="254">
        <f>SUM(D19:D23)</f>
        <v>70042</v>
      </c>
    </row>
    <row r="19" ht="26.25" customHeight="1" spans="1:4">
      <c r="A19" s="253" t="s">
        <v>271</v>
      </c>
      <c r="B19" s="253">
        <v>70000</v>
      </c>
      <c r="C19" s="253">
        <v>70000</v>
      </c>
      <c r="D19" s="254">
        <v>22108</v>
      </c>
    </row>
    <row r="20" ht="26.25" customHeight="1" spans="1:4">
      <c r="A20" s="253" t="s">
        <v>272</v>
      </c>
      <c r="B20" s="253"/>
      <c r="C20" s="253"/>
      <c r="D20" s="254">
        <v>0</v>
      </c>
    </row>
    <row r="21" ht="26.25" customHeight="1" spans="1:4">
      <c r="A21" s="253" t="s">
        <v>273</v>
      </c>
      <c r="B21" s="253"/>
      <c r="C21" s="253"/>
      <c r="D21" s="254">
        <v>0</v>
      </c>
    </row>
    <row r="22" ht="26.25" customHeight="1" spans="1:4">
      <c r="A22" s="253" t="s">
        <v>274</v>
      </c>
      <c r="B22" s="253"/>
      <c r="C22" s="253"/>
      <c r="D22" s="254">
        <v>-382</v>
      </c>
    </row>
    <row r="23" ht="26.25" customHeight="1" spans="1:4">
      <c r="A23" s="253" t="s">
        <v>275</v>
      </c>
      <c r="B23" s="253"/>
      <c r="C23" s="253"/>
      <c r="D23" s="254">
        <v>48316</v>
      </c>
    </row>
    <row r="24" ht="26.25" customHeight="1" spans="1:4">
      <c r="A24" s="251" t="s">
        <v>276</v>
      </c>
      <c r="B24" s="251"/>
      <c r="C24" s="251"/>
      <c r="D24" s="254"/>
    </row>
    <row r="25" ht="26.25" customHeight="1" spans="1:4">
      <c r="A25" s="251" t="s">
        <v>277</v>
      </c>
      <c r="B25" s="251"/>
      <c r="C25" s="251"/>
      <c r="D25" s="254"/>
    </row>
    <row r="26" ht="26.25" customHeight="1" spans="1:4">
      <c r="A26" s="253" t="s">
        <v>278</v>
      </c>
      <c r="B26" s="253"/>
      <c r="C26" s="253"/>
      <c r="D26" s="254"/>
    </row>
    <row r="27" ht="26.25" customHeight="1" spans="1:4">
      <c r="A27" s="253" t="s">
        <v>279</v>
      </c>
      <c r="B27" s="253"/>
      <c r="C27" s="253"/>
      <c r="D27" s="254"/>
    </row>
    <row r="28" ht="26.25" customHeight="1" spans="1:4">
      <c r="A28" s="251" t="s">
        <v>280</v>
      </c>
      <c r="B28" s="251"/>
      <c r="C28" s="251"/>
      <c r="D28" s="254"/>
    </row>
    <row r="29" ht="26.25" customHeight="1" spans="1:4">
      <c r="A29" s="251" t="s">
        <v>281</v>
      </c>
      <c r="B29" s="251"/>
      <c r="C29" s="251"/>
      <c r="D29" s="254"/>
    </row>
    <row r="30" ht="26.25" customHeight="1" spans="1:4">
      <c r="A30" s="251" t="s">
        <v>282</v>
      </c>
      <c r="B30" s="251"/>
      <c r="C30" s="251"/>
      <c r="D30" s="254"/>
    </row>
    <row r="31" ht="26.25" customHeight="1" spans="1:4">
      <c r="A31" s="251" t="s">
        <v>283</v>
      </c>
      <c r="B31" s="251"/>
      <c r="C31" s="251"/>
      <c r="D31" s="254"/>
    </row>
    <row r="32" ht="26.25" customHeight="1" spans="1:4">
      <c r="A32" s="253" t="s">
        <v>284</v>
      </c>
      <c r="B32" s="253"/>
      <c r="C32" s="253"/>
      <c r="D32" s="254"/>
    </row>
    <row r="33" ht="26.25" customHeight="1" spans="1:4">
      <c r="A33" s="253" t="s">
        <v>285</v>
      </c>
      <c r="B33" s="253"/>
      <c r="C33" s="253"/>
      <c r="D33" s="254"/>
    </row>
    <row r="34" ht="26.25" customHeight="1" spans="1:4">
      <c r="A34" s="251" t="s">
        <v>286</v>
      </c>
      <c r="B34" s="253">
        <v>1000</v>
      </c>
      <c r="C34" s="253">
        <v>1000</v>
      </c>
      <c r="D34" s="254">
        <v>1839</v>
      </c>
    </row>
    <row r="35" ht="26.25" customHeight="1" spans="1:4">
      <c r="A35" s="251" t="s">
        <v>287</v>
      </c>
      <c r="B35" s="253"/>
      <c r="C35" s="253"/>
      <c r="D35" s="254"/>
    </row>
    <row r="36" ht="26.25" customHeight="1" spans="1:4">
      <c r="A36" s="251" t="s">
        <v>288</v>
      </c>
      <c r="B36" s="253"/>
      <c r="C36" s="253"/>
      <c r="D36" s="254"/>
    </row>
    <row r="37" ht="26.25" customHeight="1" spans="1:4">
      <c r="A37" s="253" t="s">
        <v>289</v>
      </c>
      <c r="B37" s="253"/>
      <c r="C37" s="253"/>
      <c r="D37" s="254"/>
    </row>
    <row r="38" ht="26.25" customHeight="1" spans="1:4">
      <c r="A38" s="253" t="s">
        <v>290</v>
      </c>
      <c r="B38" s="253"/>
      <c r="C38" s="253"/>
      <c r="D38" s="254"/>
    </row>
    <row r="39" ht="26.25" customHeight="1" spans="1:4">
      <c r="A39" s="253" t="s">
        <v>291</v>
      </c>
      <c r="B39" s="253"/>
      <c r="C39" s="253"/>
      <c r="D39" s="254"/>
    </row>
    <row r="40" ht="26.25" customHeight="1" spans="1:4">
      <c r="A40" s="251" t="s">
        <v>292</v>
      </c>
      <c r="B40" s="253"/>
      <c r="C40" s="253"/>
      <c r="D40" s="254"/>
    </row>
    <row r="41" ht="26.25" customHeight="1" spans="1:4">
      <c r="A41" s="251" t="s">
        <v>293</v>
      </c>
      <c r="B41" s="253"/>
      <c r="C41" s="253"/>
      <c r="D41" s="254"/>
    </row>
    <row r="42" ht="26.25" customHeight="1" spans="1:4">
      <c r="A42" s="251" t="s">
        <v>294</v>
      </c>
      <c r="B42" s="253"/>
      <c r="C42" s="253"/>
      <c r="D42" s="254"/>
    </row>
    <row r="43" ht="26.25" customHeight="1" spans="1:4">
      <c r="A43" s="251" t="s">
        <v>295</v>
      </c>
      <c r="B43" s="253"/>
      <c r="C43" s="253"/>
      <c r="D43" s="254"/>
    </row>
    <row r="44" ht="26.25" customHeight="1" spans="1:4">
      <c r="A44" s="251" t="s">
        <v>296</v>
      </c>
      <c r="B44" s="253"/>
      <c r="C44" s="253"/>
      <c r="D44" s="254"/>
    </row>
    <row r="45" ht="26.25" customHeight="1" spans="1:4">
      <c r="A45" s="269" t="s">
        <v>297</v>
      </c>
      <c r="B45" s="253"/>
      <c r="C45" s="253"/>
      <c r="D45" s="254"/>
    </row>
    <row r="46" ht="26.25" customHeight="1" spans="1:4">
      <c r="A46" s="253" t="s">
        <v>298</v>
      </c>
      <c r="B46" s="253"/>
      <c r="C46" s="253"/>
      <c r="D46" s="254"/>
    </row>
    <row r="47" ht="26.25" customHeight="1" spans="1:4">
      <c r="A47" s="251" t="s">
        <v>299</v>
      </c>
      <c r="B47" s="253">
        <v>800</v>
      </c>
      <c r="C47" s="253">
        <v>800</v>
      </c>
      <c r="D47" s="254">
        <v>443</v>
      </c>
    </row>
    <row r="48" ht="26.25" customHeight="1" spans="1:4">
      <c r="A48" s="251" t="s">
        <v>300</v>
      </c>
      <c r="B48" s="253"/>
      <c r="C48" s="253"/>
      <c r="D48" s="254"/>
    </row>
    <row r="49" ht="26.25" customHeight="1" spans="1:4">
      <c r="A49" s="251" t="s">
        <v>301</v>
      </c>
      <c r="B49" s="251"/>
      <c r="C49" s="251"/>
      <c r="D49" s="254">
        <v>0</v>
      </c>
    </row>
  </sheetData>
  <mergeCells count="2">
    <mergeCell ref="A2:D2"/>
    <mergeCell ref="C3:D3"/>
  </mergeCells>
  <pageMargins left="0.904861111111111" right="0.904861111111111" top="0.984027777777778" bottom="0.747916666666667" header="0.275" footer="0.31458333333333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9"/>
  <sheetViews>
    <sheetView showZeros="0" workbookViewId="0">
      <selection activeCell="D3" sqref="D3"/>
    </sheetView>
  </sheetViews>
  <sheetFormatPr defaultColWidth="9" defaultRowHeight="13.5" outlineLevelCol="3"/>
  <cols>
    <col min="1" max="1" width="55.375" style="257" customWidth="1"/>
    <col min="2" max="2" width="9.875" style="257" customWidth="1"/>
    <col min="3" max="3" width="9.25" style="257" customWidth="1"/>
    <col min="4" max="4" width="9.5" style="257" customWidth="1"/>
    <col min="5" max="16384" width="9" style="189"/>
  </cols>
  <sheetData>
    <row r="1" spans="1:1">
      <c r="A1" s="191" t="s">
        <v>302</v>
      </c>
    </row>
    <row r="2" ht="44.25" customHeight="1" spans="1:4">
      <c r="A2" s="258" t="s">
        <v>303</v>
      </c>
      <c r="B2" s="258"/>
      <c r="C2" s="258"/>
      <c r="D2" s="258"/>
    </row>
    <row r="3" ht="30" customHeight="1" spans="1:4">
      <c r="A3" s="262"/>
      <c r="B3" s="262"/>
      <c r="C3" s="262"/>
      <c r="D3" s="263" t="s">
        <v>255</v>
      </c>
    </row>
    <row r="4" ht="37.5" customHeight="1" spans="1:4">
      <c r="A4" s="249" t="s">
        <v>256</v>
      </c>
      <c r="B4" s="264" t="s">
        <v>4</v>
      </c>
      <c r="C4" s="264" t="s">
        <v>5</v>
      </c>
      <c r="D4" s="250" t="s">
        <v>6</v>
      </c>
    </row>
    <row r="5" ht="22.5" customHeight="1" spans="1:4">
      <c r="A5" s="249" t="s">
        <v>304</v>
      </c>
      <c r="B5" s="265">
        <f>B6+B14+B29+B41+B52+B85+B109+B126+B145</f>
        <v>75322</v>
      </c>
      <c r="C5" s="265">
        <f>C6+C14+C29+C41+C52+C85+C109+C126+C145</f>
        <v>93847</v>
      </c>
      <c r="D5" s="265">
        <f>D6+D14+D29+D41+D52+D85+D109+D126+D145</f>
        <v>81866</v>
      </c>
    </row>
    <row r="6" ht="22.5" customHeight="1" spans="1:4">
      <c r="A6" s="251" t="s">
        <v>305</v>
      </c>
      <c r="B6" s="251"/>
      <c r="C6" s="251"/>
      <c r="D6" s="254">
        <f>SUM(D7)</f>
        <v>0</v>
      </c>
    </row>
    <row r="7" ht="22.5" customHeight="1" spans="1:4">
      <c r="A7" s="251" t="s">
        <v>306</v>
      </c>
      <c r="B7" s="251"/>
      <c r="C7" s="251"/>
      <c r="D7" s="254">
        <f>SUM(D8:D13)</f>
        <v>0</v>
      </c>
    </row>
    <row r="8" ht="22.5" customHeight="1" spans="1:4">
      <c r="A8" s="253" t="s">
        <v>307</v>
      </c>
      <c r="B8" s="253"/>
      <c r="C8" s="253"/>
      <c r="D8" s="254">
        <v>0</v>
      </c>
    </row>
    <row r="9" ht="22.5" customHeight="1" spans="1:4">
      <c r="A9" s="253" t="s">
        <v>308</v>
      </c>
      <c r="B9" s="253"/>
      <c r="C9" s="253"/>
      <c r="D9" s="254">
        <v>0</v>
      </c>
    </row>
    <row r="10" ht="22.5" customHeight="1" spans="1:4">
      <c r="A10" s="253" t="s">
        <v>309</v>
      </c>
      <c r="B10" s="253"/>
      <c r="C10" s="253"/>
      <c r="D10" s="254">
        <v>0</v>
      </c>
    </row>
    <row r="11" ht="22.5" customHeight="1" spans="1:4">
      <c r="A11" s="253" t="s">
        <v>310</v>
      </c>
      <c r="B11" s="253"/>
      <c r="C11" s="253"/>
      <c r="D11" s="254">
        <v>0</v>
      </c>
    </row>
    <row r="12" ht="22.5" customHeight="1" spans="1:4">
      <c r="A12" s="253" t="s">
        <v>311</v>
      </c>
      <c r="B12" s="253"/>
      <c r="C12" s="253"/>
      <c r="D12" s="254">
        <v>0</v>
      </c>
    </row>
    <row r="13" ht="22.5" customHeight="1" spans="1:4">
      <c r="A13" s="253" t="s">
        <v>312</v>
      </c>
      <c r="B13" s="253"/>
      <c r="C13" s="253"/>
      <c r="D13" s="254">
        <v>0</v>
      </c>
    </row>
    <row r="14" ht="22.5" customHeight="1" spans="1:4">
      <c r="A14" s="251" t="s">
        <v>313</v>
      </c>
      <c r="B14" s="251">
        <f>B15+B20</f>
        <v>0</v>
      </c>
      <c r="C14" s="251">
        <f>C15+C20</f>
        <v>11</v>
      </c>
      <c r="D14" s="252">
        <f>D15+D20+D26</f>
        <v>15</v>
      </c>
    </row>
    <row r="15" ht="22.5" customHeight="1" spans="1:4">
      <c r="A15" s="251" t="s">
        <v>314</v>
      </c>
      <c r="B15" s="251">
        <f>SUM(B16:B19)</f>
        <v>0</v>
      </c>
      <c r="C15" s="251">
        <f>SUM(C16:C19)</f>
        <v>4</v>
      </c>
      <c r="D15" s="252">
        <f>SUM(D16:D19)</f>
        <v>8</v>
      </c>
    </row>
    <row r="16" ht="22.5" customHeight="1" spans="1:4">
      <c r="A16" s="253" t="s">
        <v>315</v>
      </c>
      <c r="B16" s="253"/>
      <c r="C16" s="253"/>
      <c r="D16" s="254">
        <v>0</v>
      </c>
    </row>
    <row r="17" ht="22.5" customHeight="1" spans="1:4">
      <c r="A17" s="253" t="s">
        <v>316</v>
      </c>
      <c r="B17" s="253"/>
      <c r="C17" s="253"/>
      <c r="D17" s="254">
        <v>0</v>
      </c>
    </row>
    <row r="18" ht="22.5" customHeight="1" spans="1:4">
      <c r="A18" s="253" t="s">
        <v>317</v>
      </c>
      <c r="B18" s="253"/>
      <c r="C18" s="253"/>
      <c r="D18" s="254">
        <v>0</v>
      </c>
    </row>
    <row r="19" ht="22.5" customHeight="1" spans="1:4">
      <c r="A19" s="253" t="s">
        <v>318</v>
      </c>
      <c r="B19" s="253"/>
      <c r="C19" s="253">
        <v>4</v>
      </c>
      <c r="D19" s="254">
        <v>8</v>
      </c>
    </row>
    <row r="20" ht="22.5" customHeight="1" spans="1:4">
      <c r="A20" s="251" t="s">
        <v>319</v>
      </c>
      <c r="B20" s="251">
        <f>SUM(B21:B25)</f>
        <v>0</v>
      </c>
      <c r="C20" s="251">
        <f>SUM(C21:C25)</f>
        <v>7</v>
      </c>
      <c r="D20" s="252">
        <f>SUM(D21:D25)</f>
        <v>7</v>
      </c>
    </row>
    <row r="21" ht="22.5" customHeight="1" spans="1:4">
      <c r="A21" s="253" t="s">
        <v>320</v>
      </c>
      <c r="B21" s="253"/>
      <c r="C21" s="253"/>
      <c r="D21" s="254">
        <v>0</v>
      </c>
    </row>
    <row r="22" ht="22.5" customHeight="1" spans="1:4">
      <c r="A22" s="253" t="s">
        <v>321</v>
      </c>
      <c r="B22" s="253"/>
      <c r="C22" s="253"/>
      <c r="D22" s="254">
        <v>0</v>
      </c>
    </row>
    <row r="23" ht="22.5" customHeight="1" spans="1:4">
      <c r="A23" s="253" t="s">
        <v>322</v>
      </c>
      <c r="B23" s="253"/>
      <c r="C23" s="253"/>
      <c r="D23" s="254">
        <v>0</v>
      </c>
    </row>
    <row r="24" ht="22.5" customHeight="1" spans="1:4">
      <c r="A24" s="253" t="s">
        <v>323</v>
      </c>
      <c r="B24" s="253"/>
      <c r="C24" s="253">
        <v>7</v>
      </c>
      <c r="D24" s="254">
        <v>7</v>
      </c>
    </row>
    <row r="25" ht="22.5" customHeight="1" spans="1:4">
      <c r="A25" s="253" t="s">
        <v>324</v>
      </c>
      <c r="B25" s="253"/>
      <c r="C25" s="253"/>
      <c r="D25" s="254">
        <v>0</v>
      </c>
    </row>
    <row r="26" ht="22.5" customHeight="1" spans="1:4">
      <c r="A26" s="251" t="s">
        <v>325</v>
      </c>
      <c r="B26" s="251"/>
      <c r="C26" s="251"/>
      <c r="D26" s="254">
        <f>SUM(D27:D28)</f>
        <v>0</v>
      </c>
    </row>
    <row r="27" ht="22.5" customHeight="1" spans="1:4">
      <c r="A27" s="253" t="s">
        <v>326</v>
      </c>
      <c r="B27" s="253"/>
      <c r="C27" s="253"/>
      <c r="D27" s="254">
        <v>0</v>
      </c>
    </row>
    <row r="28" ht="22.5" customHeight="1" spans="1:4">
      <c r="A28" s="253" t="s">
        <v>327</v>
      </c>
      <c r="B28" s="253"/>
      <c r="C28" s="253"/>
      <c r="D28" s="254">
        <v>0</v>
      </c>
    </row>
    <row r="29" ht="22.5" customHeight="1" spans="1:4">
      <c r="A29" s="251" t="s">
        <v>328</v>
      </c>
      <c r="B29" s="266">
        <f>B30</f>
        <v>98</v>
      </c>
      <c r="C29" s="266">
        <f>C30</f>
        <v>401</v>
      </c>
      <c r="D29" s="252">
        <f>D30+D34+D38</f>
        <v>401</v>
      </c>
    </row>
    <row r="30" ht="22.5" customHeight="1" spans="1:4">
      <c r="A30" s="251" t="s">
        <v>329</v>
      </c>
      <c r="B30" s="266">
        <f>SUM(B31:B33)</f>
        <v>98</v>
      </c>
      <c r="C30" s="266">
        <f>SUM(C31:C33)</f>
        <v>401</v>
      </c>
      <c r="D30" s="252">
        <f>SUM(D31:D33)</f>
        <v>401</v>
      </c>
    </row>
    <row r="31" ht="22.5" customHeight="1" spans="1:4">
      <c r="A31" s="253" t="s">
        <v>330</v>
      </c>
      <c r="B31" s="254">
        <v>98</v>
      </c>
      <c r="C31" s="254">
        <v>98</v>
      </c>
      <c r="D31" s="254">
        <v>98</v>
      </c>
    </row>
    <row r="32" ht="22.5" customHeight="1" spans="1:4">
      <c r="A32" s="253" t="s">
        <v>331</v>
      </c>
      <c r="B32" s="254"/>
      <c r="C32" s="254">
        <v>303</v>
      </c>
      <c r="D32" s="254">
        <v>303</v>
      </c>
    </row>
    <row r="33" ht="22.5" customHeight="1" spans="1:4">
      <c r="A33" s="253" t="s">
        <v>332</v>
      </c>
      <c r="B33" s="253"/>
      <c r="C33" s="253"/>
      <c r="D33" s="254">
        <v>0</v>
      </c>
    </row>
    <row r="34" ht="22.5" customHeight="1" spans="1:4">
      <c r="A34" s="251" t="s">
        <v>333</v>
      </c>
      <c r="B34" s="251">
        <f>SUM(B35:B37)</f>
        <v>0</v>
      </c>
      <c r="C34" s="251">
        <f>SUM(C35:C37)</f>
        <v>0</v>
      </c>
      <c r="D34" s="254">
        <f>SUM(D35:D37)</f>
        <v>0</v>
      </c>
    </row>
    <row r="35" ht="22.5" customHeight="1" spans="1:4">
      <c r="A35" s="253" t="s">
        <v>330</v>
      </c>
      <c r="B35" s="253"/>
      <c r="C35" s="253"/>
      <c r="D35" s="254">
        <v>0</v>
      </c>
    </row>
    <row r="36" ht="22.5" customHeight="1" spans="1:4">
      <c r="A36" s="253" t="s">
        <v>331</v>
      </c>
      <c r="B36" s="253"/>
      <c r="C36" s="253"/>
      <c r="D36" s="254">
        <v>0</v>
      </c>
    </row>
    <row r="37" ht="22.5" customHeight="1" spans="1:4">
      <c r="A37" s="253" t="s">
        <v>334</v>
      </c>
      <c r="B37" s="253"/>
      <c r="C37" s="253"/>
      <c r="D37" s="254">
        <v>0</v>
      </c>
    </row>
    <row r="38" ht="22.5" customHeight="1" spans="1:4">
      <c r="A38" s="251" t="s">
        <v>335</v>
      </c>
      <c r="B38" s="251"/>
      <c r="C38" s="251"/>
      <c r="D38" s="254">
        <f>SUM(D39:D40)</f>
        <v>0</v>
      </c>
    </row>
    <row r="39" ht="22.5" customHeight="1" spans="1:4">
      <c r="A39" s="253" t="s">
        <v>331</v>
      </c>
      <c r="B39" s="253"/>
      <c r="C39" s="253"/>
      <c r="D39" s="254">
        <v>0</v>
      </c>
    </row>
    <row r="40" ht="22.5" customHeight="1" spans="1:4">
      <c r="A40" s="253" t="s">
        <v>336</v>
      </c>
      <c r="B40" s="253"/>
      <c r="C40" s="253"/>
      <c r="D40" s="254">
        <v>0</v>
      </c>
    </row>
    <row r="41" ht="22.5" customHeight="1" spans="1:4">
      <c r="A41" s="251" t="s">
        <v>337</v>
      </c>
      <c r="B41" s="251"/>
      <c r="C41" s="251"/>
      <c r="D41" s="254">
        <f>SUM(D42,D47)</f>
        <v>0</v>
      </c>
    </row>
    <row r="42" ht="22.5" customHeight="1" spans="1:4">
      <c r="A42" s="251" t="s">
        <v>338</v>
      </c>
      <c r="B42" s="251"/>
      <c r="C42" s="251"/>
      <c r="D42" s="254">
        <f>SUM(D43:D46)</f>
        <v>0</v>
      </c>
    </row>
    <row r="43" ht="22.5" customHeight="1" spans="1:4">
      <c r="A43" s="253" t="s">
        <v>339</v>
      </c>
      <c r="B43" s="253"/>
      <c r="C43" s="253"/>
      <c r="D43" s="254">
        <v>0</v>
      </c>
    </row>
    <row r="44" ht="22.5" customHeight="1" spans="1:4">
      <c r="A44" s="253" t="s">
        <v>340</v>
      </c>
      <c r="B44" s="253"/>
      <c r="C44" s="253"/>
      <c r="D44" s="254">
        <v>0</v>
      </c>
    </row>
    <row r="45" ht="22.5" customHeight="1" spans="1:4">
      <c r="A45" s="253" t="s">
        <v>341</v>
      </c>
      <c r="B45" s="253"/>
      <c r="C45" s="253"/>
      <c r="D45" s="254">
        <v>0</v>
      </c>
    </row>
    <row r="46" ht="22.5" customHeight="1" spans="1:4">
      <c r="A46" s="253" t="s">
        <v>342</v>
      </c>
      <c r="B46" s="253"/>
      <c r="C46" s="253"/>
      <c r="D46" s="254">
        <v>0</v>
      </c>
    </row>
    <row r="47" ht="22.5" customHeight="1" spans="1:4">
      <c r="A47" s="251" t="s">
        <v>343</v>
      </c>
      <c r="B47" s="251"/>
      <c r="C47" s="251"/>
      <c r="D47" s="254">
        <f>SUM(D48:D51)</f>
        <v>0</v>
      </c>
    </row>
    <row r="48" ht="22.5" customHeight="1" spans="1:4">
      <c r="A48" s="253" t="s">
        <v>344</v>
      </c>
      <c r="B48" s="253"/>
      <c r="C48" s="253"/>
      <c r="D48" s="254">
        <v>0</v>
      </c>
    </row>
    <row r="49" ht="22.5" customHeight="1" spans="1:4">
      <c r="A49" s="253" t="s">
        <v>345</v>
      </c>
      <c r="B49" s="253"/>
      <c r="C49" s="253"/>
      <c r="D49" s="254">
        <v>0</v>
      </c>
    </row>
    <row r="50" ht="22.5" customHeight="1" spans="1:4">
      <c r="A50" s="253" t="s">
        <v>346</v>
      </c>
      <c r="B50" s="253"/>
      <c r="C50" s="253"/>
      <c r="D50" s="254">
        <v>0</v>
      </c>
    </row>
    <row r="51" ht="22.5" customHeight="1" spans="1:4">
      <c r="A51" s="253" t="s">
        <v>347</v>
      </c>
      <c r="B51" s="253"/>
      <c r="C51" s="253"/>
      <c r="D51" s="254">
        <v>0</v>
      </c>
    </row>
    <row r="52" ht="22.5" customHeight="1" spans="1:4">
      <c r="A52" s="251" t="s">
        <v>348</v>
      </c>
      <c r="B52" s="266">
        <f>B53+B71+B77+B81</f>
        <v>68932</v>
      </c>
      <c r="C52" s="266">
        <f>C53+C71+C77+C81</f>
        <v>81432</v>
      </c>
      <c r="D52" s="266">
        <f>D53+D71+D77+D81</f>
        <v>69054</v>
      </c>
    </row>
    <row r="53" ht="22.5" customHeight="1" spans="1:4">
      <c r="A53" s="251" t="s">
        <v>349</v>
      </c>
      <c r="B53" s="266">
        <f>SUM(B54:B65)</f>
        <v>67132</v>
      </c>
      <c r="C53" s="266">
        <f>SUM(C54:C65)</f>
        <v>51132</v>
      </c>
      <c r="D53" s="252">
        <f>SUM(D54:D65)</f>
        <v>38272</v>
      </c>
    </row>
    <row r="54" ht="22.5" customHeight="1" spans="1:4">
      <c r="A54" s="253" t="s">
        <v>350</v>
      </c>
      <c r="B54" s="254">
        <v>30000</v>
      </c>
      <c r="C54" s="254">
        <v>20000</v>
      </c>
      <c r="D54" s="254">
        <v>13074</v>
      </c>
    </row>
    <row r="55" ht="22.5" customHeight="1" spans="1:4">
      <c r="A55" s="253" t="s">
        <v>351</v>
      </c>
      <c r="B55" s="254">
        <v>5300</v>
      </c>
      <c r="C55" s="254">
        <v>5300</v>
      </c>
      <c r="D55" s="254">
        <v>5300</v>
      </c>
    </row>
    <row r="56" ht="22.5" customHeight="1" spans="1:4">
      <c r="A56" s="253" t="s">
        <v>352</v>
      </c>
      <c r="B56" s="254">
        <v>1530</v>
      </c>
      <c r="C56" s="254">
        <v>1530</v>
      </c>
      <c r="D56" s="254">
        <v>1530</v>
      </c>
    </row>
    <row r="57" ht="22.5" customHeight="1" spans="1:4">
      <c r="A57" s="253" t="s">
        <v>353</v>
      </c>
      <c r="B57" s="254">
        <v>300</v>
      </c>
      <c r="C57" s="254">
        <v>300</v>
      </c>
      <c r="D57" s="254">
        <v>300</v>
      </c>
    </row>
    <row r="58" ht="22.5" customHeight="1" spans="1:4">
      <c r="A58" s="253" t="s">
        <v>354</v>
      </c>
      <c r="B58" s="254">
        <v>1919</v>
      </c>
      <c r="C58" s="254">
        <v>1919</v>
      </c>
      <c r="D58" s="254">
        <v>1919</v>
      </c>
    </row>
    <row r="59" ht="22.5" customHeight="1" spans="1:4">
      <c r="A59" s="253" t="s">
        <v>355</v>
      </c>
      <c r="B59" s="254">
        <v>1082</v>
      </c>
      <c r="C59" s="254">
        <v>1082</v>
      </c>
      <c r="D59" s="254">
        <v>1082</v>
      </c>
    </row>
    <row r="60" ht="22.5" customHeight="1" spans="1:4">
      <c r="A60" s="253" t="s">
        <v>356</v>
      </c>
      <c r="B60" s="254">
        <v>0</v>
      </c>
      <c r="C60" s="254">
        <v>0</v>
      </c>
      <c r="D60" s="254">
        <v>0</v>
      </c>
    </row>
    <row r="61" ht="22.5" customHeight="1" spans="1:4">
      <c r="A61" s="253" t="s">
        <v>357</v>
      </c>
      <c r="B61" s="254">
        <v>0</v>
      </c>
      <c r="C61" s="254">
        <v>0</v>
      </c>
      <c r="D61" s="254">
        <v>0</v>
      </c>
    </row>
    <row r="62" ht="22.5" customHeight="1" spans="1:4">
      <c r="A62" s="253" t="s">
        <v>358</v>
      </c>
      <c r="B62" s="254">
        <v>3000</v>
      </c>
      <c r="C62" s="254">
        <v>3000</v>
      </c>
      <c r="D62" s="254">
        <v>3000</v>
      </c>
    </row>
    <row r="63" ht="22.5" customHeight="1" spans="1:4">
      <c r="A63" s="253" t="s">
        <v>359</v>
      </c>
      <c r="B63" s="254">
        <v>0</v>
      </c>
      <c r="C63" s="254">
        <v>0</v>
      </c>
      <c r="D63" s="254">
        <v>0</v>
      </c>
    </row>
    <row r="64" ht="22.5" customHeight="1" spans="1:4">
      <c r="A64" s="253" t="s">
        <v>360</v>
      </c>
      <c r="B64" s="254">
        <v>0</v>
      </c>
      <c r="C64" s="254">
        <v>0</v>
      </c>
      <c r="D64" s="254">
        <v>0</v>
      </c>
    </row>
    <row r="65" ht="22.5" customHeight="1" spans="1:4">
      <c r="A65" s="253" t="s">
        <v>361</v>
      </c>
      <c r="B65" s="254">
        <f>24001</f>
        <v>24001</v>
      </c>
      <c r="C65" s="254">
        <f>5934+12067</f>
        <v>18001</v>
      </c>
      <c r="D65" s="254">
        <v>12067</v>
      </c>
    </row>
    <row r="66" ht="22.5" customHeight="1" spans="1:4">
      <c r="A66" s="251" t="s">
        <v>362</v>
      </c>
      <c r="B66" s="251"/>
      <c r="C66" s="251"/>
      <c r="D66" s="254">
        <f>SUM(D67:D69)</f>
        <v>0</v>
      </c>
    </row>
    <row r="67" ht="22.5" customHeight="1" spans="1:4">
      <c r="A67" s="253" t="s">
        <v>350</v>
      </c>
      <c r="B67" s="253"/>
      <c r="C67" s="253"/>
      <c r="D67" s="254">
        <v>0</v>
      </c>
    </row>
    <row r="68" ht="22.5" customHeight="1" spans="1:4">
      <c r="A68" s="253" t="s">
        <v>351</v>
      </c>
      <c r="B68" s="253"/>
      <c r="C68" s="253"/>
      <c r="D68" s="254">
        <v>0</v>
      </c>
    </row>
    <row r="69" ht="22.5" customHeight="1" spans="1:4">
      <c r="A69" s="253" t="s">
        <v>363</v>
      </c>
      <c r="B69" s="253"/>
      <c r="C69" s="253"/>
      <c r="D69" s="254">
        <v>0</v>
      </c>
    </row>
    <row r="70" ht="22.5" customHeight="1" spans="1:4">
      <c r="A70" s="251" t="s">
        <v>364</v>
      </c>
      <c r="B70" s="251"/>
      <c r="C70" s="251"/>
      <c r="D70" s="254">
        <v>0</v>
      </c>
    </row>
    <row r="71" ht="22.5" customHeight="1" spans="1:4">
      <c r="A71" s="251" t="s">
        <v>365</v>
      </c>
      <c r="B71" s="251">
        <f>SUM(B72:B76)</f>
        <v>1000</v>
      </c>
      <c r="C71" s="251">
        <f>SUM(C72:C76)</f>
        <v>1000</v>
      </c>
      <c r="D71" s="252">
        <f>SUM(D72:D76)</f>
        <v>1839</v>
      </c>
    </row>
    <row r="72" ht="22.5" customHeight="1" spans="1:4">
      <c r="A72" s="253" t="s">
        <v>366</v>
      </c>
      <c r="B72" s="253"/>
      <c r="C72" s="253"/>
      <c r="D72" s="254">
        <v>297</v>
      </c>
    </row>
    <row r="73" ht="22.5" customHeight="1" spans="1:4">
      <c r="A73" s="253" t="s">
        <v>367</v>
      </c>
      <c r="B73" s="253">
        <v>1000</v>
      </c>
      <c r="C73" s="253">
        <v>1000</v>
      </c>
      <c r="D73" s="254">
        <v>1067</v>
      </c>
    </row>
    <row r="74" ht="22.5" customHeight="1" spans="1:4">
      <c r="A74" s="253" t="s">
        <v>368</v>
      </c>
      <c r="B74" s="253"/>
      <c r="C74" s="253"/>
      <c r="D74" s="254">
        <v>0</v>
      </c>
    </row>
    <row r="75" ht="22.5" customHeight="1" spans="1:4">
      <c r="A75" s="253" t="s">
        <v>369</v>
      </c>
      <c r="B75" s="253"/>
      <c r="C75" s="253"/>
      <c r="D75" s="254">
        <v>0</v>
      </c>
    </row>
    <row r="76" ht="22.5" customHeight="1" spans="1:4">
      <c r="A76" s="253" t="s">
        <v>370</v>
      </c>
      <c r="B76" s="253"/>
      <c r="C76" s="253"/>
      <c r="D76" s="254">
        <v>475</v>
      </c>
    </row>
    <row r="77" ht="22.5" customHeight="1" spans="1:4">
      <c r="A77" s="251" t="s">
        <v>371</v>
      </c>
      <c r="B77" s="251">
        <f>SUM(B78:B80)</f>
        <v>800</v>
      </c>
      <c r="C77" s="251">
        <f>SUM(C78:C80)</f>
        <v>800</v>
      </c>
      <c r="D77" s="252">
        <f>SUM(D78:D80)</f>
        <v>443</v>
      </c>
    </row>
    <row r="78" ht="22.5" customHeight="1" spans="1:4">
      <c r="A78" s="253" t="s">
        <v>372</v>
      </c>
      <c r="B78" s="253">
        <v>800</v>
      </c>
      <c r="C78" s="253">
        <v>800</v>
      </c>
      <c r="D78" s="254">
        <v>437</v>
      </c>
    </row>
    <row r="79" ht="22.5" customHeight="1" spans="1:4">
      <c r="A79" s="253" t="s">
        <v>373</v>
      </c>
      <c r="B79" s="253"/>
      <c r="C79" s="253"/>
      <c r="D79" s="254">
        <v>6</v>
      </c>
    </row>
    <row r="80" ht="22.5" customHeight="1" spans="1:4">
      <c r="A80" s="253" t="s">
        <v>374</v>
      </c>
      <c r="B80" s="253"/>
      <c r="C80" s="253"/>
      <c r="D80" s="254">
        <v>0</v>
      </c>
    </row>
    <row r="81" ht="22.5" customHeight="1" spans="1:4">
      <c r="A81" s="251" t="s">
        <v>375</v>
      </c>
      <c r="B81" s="251">
        <f>B82+B83+B84</f>
        <v>0</v>
      </c>
      <c r="C81" s="251">
        <f>C82+C83+C84</f>
        <v>28500</v>
      </c>
      <c r="D81" s="252">
        <f>SUM(D82:D84)</f>
        <v>28500</v>
      </c>
    </row>
    <row r="82" ht="22.5" customHeight="1" spans="1:4">
      <c r="A82" s="253" t="s">
        <v>376</v>
      </c>
      <c r="B82" s="253"/>
      <c r="C82" s="253">
        <v>28500</v>
      </c>
      <c r="D82" s="254">
        <v>28500</v>
      </c>
    </row>
    <row r="83" ht="22.5" customHeight="1" spans="1:4">
      <c r="A83" s="253" t="s">
        <v>377</v>
      </c>
      <c r="B83" s="253"/>
      <c r="C83" s="253"/>
      <c r="D83" s="254">
        <v>0</v>
      </c>
    </row>
    <row r="84" ht="22.5" customHeight="1" spans="1:4">
      <c r="A84" s="253" t="s">
        <v>378</v>
      </c>
      <c r="B84" s="253"/>
      <c r="C84" s="253"/>
      <c r="D84" s="254">
        <v>0</v>
      </c>
    </row>
    <row r="85" ht="22.5" customHeight="1" spans="1:4">
      <c r="A85" s="251" t="s">
        <v>379</v>
      </c>
      <c r="B85" s="251">
        <f>B86</f>
        <v>0</v>
      </c>
      <c r="C85" s="251">
        <f>C86</f>
        <v>12</v>
      </c>
      <c r="D85" s="252">
        <f>SUM(D86,D91,D96,D101,D104)</f>
        <v>12</v>
      </c>
    </row>
    <row r="86" ht="22.5" customHeight="1" spans="1:4">
      <c r="A86" s="251" t="s">
        <v>380</v>
      </c>
      <c r="B86" s="251">
        <f>SUM(B87:B90)</f>
        <v>0</v>
      </c>
      <c r="C86" s="251">
        <f>SUM(C87:C90)</f>
        <v>12</v>
      </c>
      <c r="D86" s="252">
        <f>SUM(D87:D90)</f>
        <v>12</v>
      </c>
    </row>
    <row r="87" ht="22.5" customHeight="1" spans="1:4">
      <c r="A87" s="253" t="s">
        <v>331</v>
      </c>
      <c r="B87" s="253"/>
      <c r="C87" s="253"/>
      <c r="D87" s="254">
        <v>0</v>
      </c>
    </row>
    <row r="88" ht="22.5" customHeight="1" spans="1:4">
      <c r="A88" s="253" t="s">
        <v>381</v>
      </c>
      <c r="B88" s="253"/>
      <c r="C88" s="253"/>
      <c r="D88" s="254">
        <v>0</v>
      </c>
    </row>
    <row r="89" ht="22.5" customHeight="1" spans="1:4">
      <c r="A89" s="253" t="s">
        <v>382</v>
      </c>
      <c r="B89" s="253"/>
      <c r="C89" s="253"/>
      <c r="D89" s="254">
        <v>0</v>
      </c>
    </row>
    <row r="90" ht="22.5" customHeight="1" spans="1:4">
      <c r="A90" s="253" t="s">
        <v>383</v>
      </c>
      <c r="B90" s="253"/>
      <c r="C90" s="253">
        <v>12</v>
      </c>
      <c r="D90" s="254">
        <v>12</v>
      </c>
    </row>
    <row r="91" ht="22.5" customHeight="1" spans="1:4">
      <c r="A91" s="251" t="s">
        <v>384</v>
      </c>
      <c r="B91" s="251"/>
      <c r="C91" s="251"/>
      <c r="D91" s="254">
        <f>SUM(D92:D95)</f>
        <v>0</v>
      </c>
    </row>
    <row r="92" ht="22.5" customHeight="1" spans="1:4">
      <c r="A92" s="253" t="s">
        <v>331</v>
      </c>
      <c r="B92" s="253"/>
      <c r="C92" s="253"/>
      <c r="D92" s="254">
        <v>0</v>
      </c>
    </row>
    <row r="93" ht="22.5" customHeight="1" spans="1:4">
      <c r="A93" s="253" t="s">
        <v>381</v>
      </c>
      <c r="B93" s="253"/>
      <c r="C93" s="253"/>
      <c r="D93" s="254">
        <v>0</v>
      </c>
    </row>
    <row r="94" ht="22.5" customHeight="1" spans="1:4">
      <c r="A94" s="253" t="s">
        <v>385</v>
      </c>
      <c r="B94" s="253"/>
      <c r="C94" s="253"/>
      <c r="D94" s="254">
        <v>0</v>
      </c>
    </row>
    <row r="95" ht="22.5" customHeight="1" spans="1:4">
      <c r="A95" s="253" t="s">
        <v>386</v>
      </c>
      <c r="B95" s="253"/>
      <c r="C95" s="253"/>
      <c r="D95" s="254">
        <v>0</v>
      </c>
    </row>
    <row r="96" ht="22.5" customHeight="1" spans="1:4">
      <c r="A96" s="251" t="s">
        <v>387</v>
      </c>
      <c r="B96" s="251"/>
      <c r="C96" s="251"/>
      <c r="D96" s="254">
        <f>SUM(D97:D100)</f>
        <v>0</v>
      </c>
    </row>
    <row r="97" ht="22.5" customHeight="1" spans="1:4">
      <c r="A97" s="253" t="s">
        <v>388</v>
      </c>
      <c r="B97" s="253"/>
      <c r="C97" s="253"/>
      <c r="D97" s="254">
        <v>0</v>
      </c>
    </row>
    <row r="98" ht="22.5" customHeight="1" spans="1:4">
      <c r="A98" s="253" t="s">
        <v>389</v>
      </c>
      <c r="B98" s="253"/>
      <c r="C98" s="253"/>
      <c r="D98" s="254">
        <v>0</v>
      </c>
    </row>
    <row r="99" ht="22.5" customHeight="1" spans="1:4">
      <c r="A99" s="253" t="s">
        <v>390</v>
      </c>
      <c r="B99" s="253"/>
      <c r="C99" s="253"/>
      <c r="D99" s="254">
        <v>0</v>
      </c>
    </row>
    <row r="100" ht="22.5" customHeight="1" spans="1:4">
      <c r="A100" s="253" t="s">
        <v>391</v>
      </c>
      <c r="B100" s="253"/>
      <c r="C100" s="253"/>
      <c r="D100" s="254">
        <v>0</v>
      </c>
    </row>
    <row r="101" ht="22.5" customHeight="1" spans="1:4">
      <c r="A101" s="251" t="s">
        <v>392</v>
      </c>
      <c r="B101" s="251"/>
      <c r="C101" s="251"/>
      <c r="D101" s="254">
        <f>SUM(D102:D103)</f>
        <v>0</v>
      </c>
    </row>
    <row r="102" ht="22.5" customHeight="1" spans="1:4">
      <c r="A102" s="253" t="s">
        <v>393</v>
      </c>
      <c r="B102" s="253"/>
      <c r="C102" s="253"/>
      <c r="D102" s="254">
        <v>0</v>
      </c>
    </row>
    <row r="103" ht="22.5" customHeight="1" spans="1:4">
      <c r="A103" s="253" t="s">
        <v>394</v>
      </c>
      <c r="B103" s="253"/>
      <c r="C103" s="253"/>
      <c r="D103" s="254">
        <v>0</v>
      </c>
    </row>
    <row r="104" ht="22.5" customHeight="1" spans="1:4">
      <c r="A104" s="251" t="s">
        <v>395</v>
      </c>
      <c r="B104" s="251"/>
      <c r="C104" s="251"/>
      <c r="D104" s="254">
        <f>SUM(D105:D108)</f>
        <v>0</v>
      </c>
    </row>
    <row r="105" ht="22.5" customHeight="1" spans="1:4">
      <c r="A105" s="253" t="s">
        <v>396</v>
      </c>
      <c r="B105" s="253"/>
      <c r="C105" s="253"/>
      <c r="D105" s="254">
        <v>0</v>
      </c>
    </row>
    <row r="106" ht="22.5" customHeight="1" spans="1:4">
      <c r="A106" s="253" t="s">
        <v>397</v>
      </c>
      <c r="B106" s="253"/>
      <c r="C106" s="253"/>
      <c r="D106" s="254">
        <v>0</v>
      </c>
    </row>
    <row r="107" ht="22.5" customHeight="1" spans="1:4">
      <c r="A107" s="253" t="s">
        <v>398</v>
      </c>
      <c r="B107" s="253"/>
      <c r="C107" s="253"/>
      <c r="D107" s="254">
        <v>0</v>
      </c>
    </row>
    <row r="108" ht="22.5" customHeight="1" spans="1:4">
      <c r="A108" s="253" t="s">
        <v>399</v>
      </c>
      <c r="B108" s="253"/>
      <c r="C108" s="253"/>
      <c r="D108" s="254">
        <v>0</v>
      </c>
    </row>
    <row r="109" ht="22.5" customHeight="1" spans="1:4">
      <c r="A109" s="251" t="s">
        <v>400</v>
      </c>
      <c r="B109" s="251">
        <f>B110+B114</f>
        <v>3424</v>
      </c>
      <c r="C109" s="251">
        <f>C110+C114</f>
        <v>9123</v>
      </c>
      <c r="D109" s="251">
        <f>D110+D114</f>
        <v>9252</v>
      </c>
    </row>
    <row r="110" ht="22.5" customHeight="1" spans="1:4">
      <c r="A110" s="251" t="s">
        <v>401</v>
      </c>
      <c r="B110" s="251">
        <f>SUM(B111:B113)</f>
        <v>0</v>
      </c>
      <c r="C110" s="251">
        <f>SUM(C111:C113)</f>
        <v>4500</v>
      </c>
      <c r="D110" s="252">
        <f>SUM(D111:D113)</f>
        <v>4500</v>
      </c>
    </row>
    <row r="111" ht="22.5" customHeight="1" spans="1:4">
      <c r="A111" s="253" t="s">
        <v>402</v>
      </c>
      <c r="B111" s="253"/>
      <c r="C111" s="253"/>
      <c r="D111" s="254">
        <v>0</v>
      </c>
    </row>
    <row r="112" ht="22.5" customHeight="1" spans="1:4">
      <c r="A112" s="253" t="s">
        <v>403</v>
      </c>
      <c r="B112" s="253"/>
      <c r="C112" s="253">
        <v>4500</v>
      </c>
      <c r="D112" s="254">
        <v>4500</v>
      </c>
    </row>
    <row r="113" ht="22.5" customHeight="1" spans="1:4">
      <c r="A113" s="253" t="s">
        <v>404</v>
      </c>
      <c r="B113" s="253"/>
      <c r="C113" s="253"/>
      <c r="D113" s="254">
        <v>0</v>
      </c>
    </row>
    <row r="114" ht="22.5" customHeight="1" spans="1:4">
      <c r="A114" s="251" t="s">
        <v>405</v>
      </c>
      <c r="B114" s="251">
        <f>SUM(B115:B125)</f>
        <v>3424</v>
      </c>
      <c r="C114" s="251">
        <f>SUM(C115:C125)</f>
        <v>4623</v>
      </c>
      <c r="D114" s="252">
        <f>SUM(D115:D125)</f>
        <v>4752</v>
      </c>
    </row>
    <row r="115" ht="22.5" customHeight="1" spans="1:4">
      <c r="A115" s="253" t="s">
        <v>406</v>
      </c>
      <c r="B115" s="253"/>
      <c r="C115" s="253"/>
      <c r="D115" s="254">
        <v>0</v>
      </c>
    </row>
    <row r="116" ht="22.5" customHeight="1" spans="1:4">
      <c r="A116" s="253" t="s">
        <v>407</v>
      </c>
      <c r="B116" s="254"/>
      <c r="C116" s="254">
        <f>700-89</f>
        <v>611</v>
      </c>
      <c r="D116" s="254">
        <v>700</v>
      </c>
    </row>
    <row r="117" ht="22.5" customHeight="1" spans="1:4">
      <c r="A117" s="253" t="s">
        <v>408</v>
      </c>
      <c r="B117" s="254"/>
      <c r="C117" s="254">
        <f>94-40</f>
        <v>54</v>
      </c>
      <c r="D117" s="254">
        <v>94</v>
      </c>
    </row>
    <row r="118" ht="22.5" customHeight="1" spans="1:4">
      <c r="A118" s="253" t="s">
        <v>409</v>
      </c>
      <c r="B118" s="254"/>
      <c r="C118" s="254">
        <v>104</v>
      </c>
      <c r="D118" s="254">
        <v>104</v>
      </c>
    </row>
    <row r="119" ht="22.5" customHeight="1" spans="1:4">
      <c r="A119" s="253" t="s">
        <v>410</v>
      </c>
      <c r="B119" s="254"/>
      <c r="C119" s="254">
        <v>0</v>
      </c>
      <c r="D119" s="254">
        <v>0</v>
      </c>
    </row>
    <row r="120" ht="22.5" customHeight="1" spans="1:4">
      <c r="A120" s="253" t="s">
        <v>411</v>
      </c>
      <c r="B120" s="254"/>
      <c r="C120" s="254">
        <v>145</v>
      </c>
      <c r="D120" s="254">
        <v>145</v>
      </c>
    </row>
    <row r="121" ht="22.5" customHeight="1" spans="1:4">
      <c r="A121" s="253" t="s">
        <v>412</v>
      </c>
      <c r="B121" s="254">
        <v>0</v>
      </c>
      <c r="C121" s="254">
        <v>0</v>
      </c>
      <c r="D121" s="254">
        <v>0</v>
      </c>
    </row>
    <row r="122" ht="22.5" customHeight="1" spans="1:4">
      <c r="A122" s="253" t="s">
        <v>413</v>
      </c>
      <c r="B122" s="254">
        <v>3278</v>
      </c>
      <c r="C122" s="254">
        <v>3278</v>
      </c>
      <c r="D122" s="254">
        <v>3278</v>
      </c>
    </row>
    <row r="123" ht="22.5" customHeight="1" spans="1:4">
      <c r="A123" s="253" t="s">
        <v>414</v>
      </c>
      <c r="B123" s="254">
        <v>0</v>
      </c>
      <c r="C123" s="254">
        <v>0</v>
      </c>
      <c r="D123" s="254">
        <v>0</v>
      </c>
    </row>
    <row r="124" ht="22.5" customHeight="1" spans="1:4">
      <c r="A124" s="253" t="s">
        <v>415</v>
      </c>
      <c r="B124" s="254">
        <v>146</v>
      </c>
      <c r="C124" s="254">
        <v>431</v>
      </c>
      <c r="D124" s="254">
        <v>431</v>
      </c>
    </row>
    <row r="125" ht="22.5" customHeight="1" spans="1:4">
      <c r="A125" s="253" t="s">
        <v>416</v>
      </c>
      <c r="B125" s="254">
        <v>0</v>
      </c>
      <c r="C125" s="254">
        <v>0</v>
      </c>
      <c r="D125" s="254">
        <v>0</v>
      </c>
    </row>
    <row r="126" ht="22.5" customHeight="1" spans="1:4">
      <c r="A126" s="251" t="s">
        <v>417</v>
      </c>
      <c r="B126" s="251">
        <f>B127</f>
        <v>2868</v>
      </c>
      <c r="C126" s="251">
        <f>C127</f>
        <v>2868</v>
      </c>
      <c r="D126" s="252">
        <f>D127</f>
        <v>3073</v>
      </c>
    </row>
    <row r="127" ht="22.5" customHeight="1" spans="1:4">
      <c r="A127" s="251" t="s">
        <v>418</v>
      </c>
      <c r="B127" s="251">
        <f>SUM(B128:B144)</f>
        <v>2868</v>
      </c>
      <c r="C127" s="251">
        <f>SUM(C128:C144)</f>
        <v>2868</v>
      </c>
      <c r="D127" s="252">
        <f>SUM(D128:D144)</f>
        <v>3073</v>
      </c>
    </row>
    <row r="128" ht="22.5" customHeight="1" spans="1:4">
      <c r="A128" s="253" t="s">
        <v>419</v>
      </c>
      <c r="B128" s="253"/>
      <c r="C128" s="253"/>
      <c r="D128" s="254">
        <v>0</v>
      </c>
    </row>
    <row r="129" ht="22.5" customHeight="1" spans="1:4">
      <c r="A129" s="253" t="s">
        <v>420</v>
      </c>
      <c r="B129" s="253"/>
      <c r="C129" s="253"/>
      <c r="D129" s="254">
        <v>0</v>
      </c>
    </row>
    <row r="130" ht="22.5" customHeight="1" spans="1:4">
      <c r="A130" s="253" t="s">
        <v>421</v>
      </c>
      <c r="B130" s="253"/>
      <c r="C130" s="253"/>
      <c r="D130" s="254">
        <v>0</v>
      </c>
    </row>
    <row r="131" ht="22.5" customHeight="1" spans="1:4">
      <c r="A131" s="253" t="s">
        <v>422</v>
      </c>
      <c r="B131" s="253">
        <v>2033</v>
      </c>
      <c r="C131" s="253">
        <v>2033</v>
      </c>
      <c r="D131" s="254">
        <v>2033</v>
      </c>
    </row>
    <row r="132" ht="22.5" customHeight="1" spans="1:4">
      <c r="A132" s="253" t="s">
        <v>423</v>
      </c>
      <c r="B132" s="253"/>
      <c r="C132" s="253"/>
      <c r="D132" s="254">
        <v>0</v>
      </c>
    </row>
    <row r="133" ht="22.5" customHeight="1" spans="1:4">
      <c r="A133" s="253" t="s">
        <v>424</v>
      </c>
      <c r="B133" s="253"/>
      <c r="C133" s="253"/>
      <c r="D133" s="254">
        <v>0</v>
      </c>
    </row>
    <row r="134" ht="22.5" customHeight="1" spans="1:4">
      <c r="A134" s="253" t="s">
        <v>425</v>
      </c>
      <c r="B134" s="253"/>
      <c r="C134" s="253"/>
      <c r="D134" s="254">
        <v>0</v>
      </c>
    </row>
    <row r="135" ht="22.5" customHeight="1" spans="1:4">
      <c r="A135" s="253" t="s">
        <v>426</v>
      </c>
      <c r="B135" s="253"/>
      <c r="C135" s="253"/>
      <c r="D135" s="254">
        <v>0</v>
      </c>
    </row>
    <row r="136" ht="22.5" customHeight="1" spans="1:4">
      <c r="A136" s="253" t="s">
        <v>427</v>
      </c>
      <c r="B136" s="253"/>
      <c r="C136" s="253"/>
      <c r="D136" s="254">
        <v>0</v>
      </c>
    </row>
    <row r="137" ht="22.5" customHeight="1" spans="1:4">
      <c r="A137" s="253" t="s">
        <v>428</v>
      </c>
      <c r="B137" s="253"/>
      <c r="C137" s="253"/>
      <c r="D137" s="254">
        <v>0</v>
      </c>
    </row>
    <row r="138" ht="22.5" customHeight="1" spans="1:4">
      <c r="A138" s="253" t="s">
        <v>429</v>
      </c>
      <c r="B138" s="253"/>
      <c r="C138" s="253"/>
      <c r="D138" s="254">
        <v>0</v>
      </c>
    </row>
    <row r="139" ht="22.5" customHeight="1" spans="1:4">
      <c r="A139" s="253" t="s">
        <v>430</v>
      </c>
      <c r="B139" s="253"/>
      <c r="C139" s="253"/>
      <c r="D139" s="254">
        <v>0</v>
      </c>
    </row>
    <row r="140" ht="22.5" customHeight="1" spans="1:4">
      <c r="A140" s="253" t="s">
        <v>431</v>
      </c>
      <c r="B140" s="253">
        <v>835</v>
      </c>
      <c r="C140" s="253">
        <v>835</v>
      </c>
      <c r="D140" s="254">
        <v>1040</v>
      </c>
    </row>
    <row r="141" ht="22.5" customHeight="1" spans="1:4">
      <c r="A141" s="253" t="s">
        <v>432</v>
      </c>
      <c r="B141" s="253"/>
      <c r="C141" s="253"/>
      <c r="D141" s="254">
        <v>0</v>
      </c>
    </row>
    <row r="142" ht="22.5" customHeight="1" spans="1:4">
      <c r="A142" s="253" t="s">
        <v>433</v>
      </c>
      <c r="B142" s="253"/>
      <c r="C142" s="253"/>
      <c r="D142" s="254">
        <v>0</v>
      </c>
    </row>
    <row r="143" ht="22.5" customHeight="1" spans="1:4">
      <c r="A143" s="253" t="s">
        <v>434</v>
      </c>
      <c r="B143" s="253"/>
      <c r="C143" s="253"/>
      <c r="D143" s="254">
        <v>0</v>
      </c>
    </row>
    <row r="144" ht="22.5" customHeight="1" spans="1:4">
      <c r="A144" s="253" t="s">
        <v>435</v>
      </c>
      <c r="B144" s="253"/>
      <c r="C144" s="253"/>
      <c r="D144" s="254">
        <v>0</v>
      </c>
    </row>
    <row r="145" ht="22.5" customHeight="1" spans="1:4">
      <c r="A145" s="251" t="s">
        <v>436</v>
      </c>
      <c r="B145" s="251"/>
      <c r="C145" s="251"/>
      <c r="D145" s="254">
        <f>D146</f>
        <v>59</v>
      </c>
    </row>
    <row r="146" ht="22.5" customHeight="1" spans="1:4">
      <c r="A146" s="251" t="s">
        <v>437</v>
      </c>
      <c r="B146" s="251"/>
      <c r="C146" s="251"/>
      <c r="D146" s="254">
        <f>SUM(D147:D159)</f>
        <v>59</v>
      </c>
    </row>
    <row r="147" ht="22.5" customHeight="1" spans="1:4">
      <c r="A147" s="253" t="s">
        <v>438</v>
      </c>
      <c r="B147" s="253"/>
      <c r="C147" s="253"/>
      <c r="D147" s="254">
        <v>0</v>
      </c>
    </row>
    <row r="148" ht="22.5" customHeight="1" spans="1:4">
      <c r="A148" s="253" t="s">
        <v>439</v>
      </c>
      <c r="B148" s="253"/>
      <c r="C148" s="253"/>
      <c r="D148" s="254">
        <v>0</v>
      </c>
    </row>
    <row r="149" ht="22.5" customHeight="1" spans="1:4">
      <c r="A149" s="253" t="s">
        <v>440</v>
      </c>
      <c r="B149" s="253"/>
      <c r="C149" s="253"/>
      <c r="D149" s="254">
        <v>0</v>
      </c>
    </row>
    <row r="150" ht="22.5" customHeight="1" spans="1:4">
      <c r="A150" s="253" t="s">
        <v>441</v>
      </c>
      <c r="B150" s="253"/>
      <c r="C150" s="253"/>
      <c r="D150" s="254">
        <v>17</v>
      </c>
    </row>
    <row r="151" ht="22.5" customHeight="1" spans="1:4">
      <c r="A151" s="253" t="s">
        <v>442</v>
      </c>
      <c r="B151" s="253"/>
      <c r="C151" s="253"/>
      <c r="D151" s="254">
        <v>0</v>
      </c>
    </row>
    <row r="152" ht="22.5" customHeight="1" spans="1:4">
      <c r="A152" s="253" t="s">
        <v>443</v>
      </c>
      <c r="B152" s="253"/>
      <c r="C152" s="253"/>
      <c r="D152" s="254">
        <v>0</v>
      </c>
    </row>
    <row r="153" ht="22.5" customHeight="1" spans="1:4">
      <c r="A153" s="253" t="s">
        <v>444</v>
      </c>
      <c r="B153" s="253"/>
      <c r="C153" s="253"/>
      <c r="D153" s="254">
        <v>0</v>
      </c>
    </row>
    <row r="154" ht="22.5" customHeight="1" spans="1:4">
      <c r="A154" s="253" t="s">
        <v>445</v>
      </c>
      <c r="B154" s="253"/>
      <c r="C154" s="253"/>
      <c r="D154" s="254">
        <v>0</v>
      </c>
    </row>
    <row r="155" ht="22.5" customHeight="1" spans="1:4">
      <c r="A155" s="253" t="s">
        <v>446</v>
      </c>
      <c r="B155" s="253"/>
      <c r="C155" s="253"/>
      <c r="D155" s="254">
        <v>0</v>
      </c>
    </row>
    <row r="156" ht="22.5" customHeight="1" spans="1:4">
      <c r="A156" s="253" t="s">
        <v>447</v>
      </c>
      <c r="B156" s="253"/>
      <c r="C156" s="253"/>
      <c r="D156" s="254">
        <v>0</v>
      </c>
    </row>
    <row r="157" ht="22.5" customHeight="1" spans="1:4">
      <c r="A157" s="253" t="s">
        <v>448</v>
      </c>
      <c r="B157" s="253"/>
      <c r="C157" s="253"/>
      <c r="D157" s="254">
        <v>0</v>
      </c>
    </row>
    <row r="158" ht="22.5" customHeight="1" spans="1:4">
      <c r="A158" s="253" t="s">
        <v>449</v>
      </c>
      <c r="B158" s="253"/>
      <c r="C158" s="253"/>
      <c r="D158" s="254">
        <v>0</v>
      </c>
    </row>
    <row r="159" ht="22.5" customHeight="1" spans="1:4">
      <c r="A159" s="253" t="s">
        <v>450</v>
      </c>
      <c r="B159" s="253"/>
      <c r="C159" s="253"/>
      <c r="D159" s="254">
        <v>42</v>
      </c>
    </row>
  </sheetData>
  <mergeCells count="1">
    <mergeCell ref="A2:D2"/>
  </mergeCells>
  <pageMargins left="0.904861111111111" right="0.904861111111111" top="0.984027777777778" bottom="0.747916666666667" header="0.314583333333333" footer="0.31458333333333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Zeros="0" workbookViewId="0">
      <selection activeCell="A3" sqref="A3:D3"/>
    </sheetView>
  </sheetViews>
  <sheetFormatPr defaultColWidth="9" defaultRowHeight="13.5" outlineLevelCol="3"/>
  <cols>
    <col min="1" max="1" width="29.625" style="257" customWidth="1"/>
    <col min="2" max="2" width="12.25" style="257" customWidth="1"/>
    <col min="3" max="3" width="29.625" style="257" customWidth="1"/>
    <col min="4" max="4" width="12.25" style="257" customWidth="1"/>
    <col min="5" max="16384" width="9" style="257"/>
  </cols>
  <sheetData>
    <row r="1" spans="1:1">
      <c r="A1" s="191" t="s">
        <v>451</v>
      </c>
    </row>
    <row r="2" ht="42.75" customHeight="1" spans="1:4">
      <c r="A2" s="258" t="s">
        <v>452</v>
      </c>
      <c r="B2" s="258"/>
      <c r="C2" s="258"/>
      <c r="D2" s="258"/>
    </row>
    <row r="3" ht="22.5" customHeight="1" spans="1:4">
      <c r="A3" s="259" t="s">
        <v>2</v>
      </c>
      <c r="B3" s="259"/>
      <c r="C3" s="259"/>
      <c r="D3" s="259"/>
    </row>
    <row r="4" ht="39" customHeight="1" spans="1:4">
      <c r="A4" s="249" t="s">
        <v>65</v>
      </c>
      <c r="B4" s="249" t="s">
        <v>66</v>
      </c>
      <c r="C4" s="249" t="s">
        <v>65</v>
      </c>
      <c r="D4" s="249" t="s">
        <v>66</v>
      </c>
    </row>
    <row r="5" ht="39" customHeight="1" spans="1:4">
      <c r="A5" s="251" t="s">
        <v>257</v>
      </c>
      <c r="B5" s="252">
        <f>'[1]L10'!C6</f>
        <v>72324</v>
      </c>
      <c r="C5" s="251" t="s">
        <v>304</v>
      </c>
      <c r="D5" s="252">
        <f>'[1]L10'!O6</f>
        <v>81866</v>
      </c>
    </row>
    <row r="6" ht="39" customHeight="1" spans="1:4">
      <c r="A6" s="251" t="s">
        <v>453</v>
      </c>
      <c r="B6" s="260">
        <v>5180</v>
      </c>
      <c r="C6" s="251" t="s">
        <v>454</v>
      </c>
      <c r="D6" s="260"/>
    </row>
    <row r="7" ht="39" customHeight="1" spans="1:4">
      <c r="A7" s="251" t="s">
        <v>455</v>
      </c>
      <c r="B7" s="260">
        <v>0</v>
      </c>
      <c r="C7" s="251" t="s">
        <v>456</v>
      </c>
      <c r="D7" s="260"/>
    </row>
    <row r="8" ht="39" customHeight="1" spans="1:4">
      <c r="A8" s="251" t="s">
        <v>457</v>
      </c>
      <c r="B8" s="252">
        <v>0</v>
      </c>
      <c r="C8" s="251"/>
      <c r="D8" s="261"/>
    </row>
    <row r="9" ht="39" customHeight="1" spans="1:4">
      <c r="A9" s="251" t="s">
        <v>458</v>
      </c>
      <c r="B9" s="252">
        <v>244</v>
      </c>
      <c r="C9" s="251"/>
      <c r="D9" s="261"/>
    </row>
    <row r="10" ht="39" customHeight="1" spans="1:4">
      <c r="A10" s="251" t="s">
        <v>459</v>
      </c>
      <c r="B10" s="252">
        <f>B11+B12</f>
        <v>0</v>
      </c>
      <c r="C10" s="251" t="s">
        <v>460</v>
      </c>
      <c r="D10" s="252">
        <v>22000</v>
      </c>
    </row>
    <row r="11" ht="39" customHeight="1" spans="1:4">
      <c r="A11" s="253" t="s">
        <v>461</v>
      </c>
      <c r="B11" s="254">
        <v>0</v>
      </c>
      <c r="C11" s="253"/>
      <c r="D11" s="256"/>
    </row>
    <row r="12" ht="39" customHeight="1" spans="1:4">
      <c r="A12" s="253" t="s">
        <v>462</v>
      </c>
      <c r="B12" s="254">
        <v>0</v>
      </c>
      <c r="C12" s="253"/>
      <c r="D12" s="256"/>
    </row>
    <row r="13" ht="39" customHeight="1" spans="1:4">
      <c r="A13" s="253" t="s">
        <v>203</v>
      </c>
      <c r="B13" s="254">
        <f>B14</f>
        <v>0</v>
      </c>
      <c r="C13" s="251" t="s">
        <v>204</v>
      </c>
      <c r="D13" s="252">
        <f>D14</f>
        <v>17000</v>
      </c>
    </row>
    <row r="14" ht="39" customHeight="1" spans="1:4">
      <c r="A14" s="253" t="s">
        <v>205</v>
      </c>
      <c r="B14" s="254">
        <f>B15</f>
        <v>0</v>
      </c>
      <c r="C14" s="253" t="s">
        <v>463</v>
      </c>
      <c r="D14" s="254">
        <v>17000</v>
      </c>
    </row>
    <row r="15" ht="39" customHeight="1" spans="1:4">
      <c r="A15" s="253" t="s">
        <v>464</v>
      </c>
      <c r="B15" s="254">
        <v>0</v>
      </c>
      <c r="C15" s="253"/>
      <c r="D15" s="256"/>
    </row>
    <row r="16" ht="39" customHeight="1" spans="1:4">
      <c r="A16" s="251" t="s">
        <v>216</v>
      </c>
      <c r="B16" s="252">
        <f>B17</f>
        <v>43500</v>
      </c>
      <c r="C16" s="253" t="s">
        <v>217</v>
      </c>
      <c r="D16" s="255"/>
    </row>
    <row r="17" ht="39" customHeight="1" spans="1:4">
      <c r="A17" s="253" t="s">
        <v>465</v>
      </c>
      <c r="B17" s="255">
        <v>43500</v>
      </c>
      <c r="C17" s="253"/>
      <c r="D17" s="256"/>
    </row>
    <row r="18" ht="39" customHeight="1" spans="1:4">
      <c r="A18" s="253"/>
      <c r="B18" s="256"/>
      <c r="C18" s="251" t="s">
        <v>466</v>
      </c>
      <c r="D18" s="252">
        <v>382</v>
      </c>
    </row>
    <row r="19" ht="39" customHeight="1" spans="1:4">
      <c r="A19" s="249" t="s">
        <v>467</v>
      </c>
      <c r="B19" s="252">
        <v>121248</v>
      </c>
      <c r="C19" s="249" t="s">
        <v>468</v>
      </c>
      <c r="D19" s="252">
        <f>SUM(D5:D7,D10,D13,D16,D18:D18)</f>
        <v>121248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</sheetData>
  <mergeCells count="2">
    <mergeCell ref="A2:D2"/>
    <mergeCell ref="A3:D3"/>
  </mergeCells>
  <pageMargins left="0.904861111111111" right="0.904861111111111" top="0.984027777777778" bottom="0.747916666666667" header="0.314583333333333" footer="0.314583333333333"/>
  <pageSetup paperSize="9" orientation="portrait"/>
  <headerFooter/>
  <rowBreaks count="1" manualBreakCount="1">
    <brk id="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Zeros="0" workbookViewId="0">
      <selection activeCell="A3" sqref="A3:H3"/>
    </sheetView>
  </sheetViews>
  <sheetFormatPr defaultColWidth="9" defaultRowHeight="13.5" outlineLevelCol="7"/>
  <cols>
    <col min="1" max="1" width="31.25" style="189" customWidth="1"/>
    <col min="2" max="4" width="10.625" style="189" customWidth="1"/>
    <col min="5" max="5" width="31" style="189" customWidth="1"/>
    <col min="6" max="8" width="10.625" style="189" customWidth="1"/>
    <col min="9" max="16384" width="9" style="189"/>
  </cols>
  <sheetData>
    <row r="1" ht="19.5" customHeight="1" spans="1:1">
      <c r="A1" s="191" t="s">
        <v>469</v>
      </c>
    </row>
    <row r="2" ht="44.25" customHeight="1" spans="1:8">
      <c r="A2" s="247" t="s">
        <v>470</v>
      </c>
      <c r="B2" s="247"/>
      <c r="C2" s="247"/>
      <c r="D2" s="247"/>
      <c r="E2" s="247"/>
      <c r="F2" s="247"/>
      <c r="G2" s="247"/>
      <c r="H2" s="247"/>
    </row>
    <row r="3" ht="23.25" customHeight="1" spans="1:8">
      <c r="A3" s="248" t="s">
        <v>2</v>
      </c>
      <c r="B3" s="248"/>
      <c r="C3" s="248"/>
      <c r="D3" s="248"/>
      <c r="E3" s="248"/>
      <c r="F3" s="248"/>
      <c r="G3" s="248"/>
      <c r="H3" s="248"/>
    </row>
    <row r="4" ht="51.75" customHeight="1" spans="1:8">
      <c r="A4" s="249" t="s">
        <v>65</v>
      </c>
      <c r="B4" s="250" t="s">
        <v>4</v>
      </c>
      <c r="C4" s="250" t="s">
        <v>5</v>
      </c>
      <c r="D4" s="249" t="s">
        <v>66</v>
      </c>
      <c r="E4" s="249" t="s">
        <v>65</v>
      </c>
      <c r="F4" s="250" t="s">
        <v>4</v>
      </c>
      <c r="G4" s="250" t="s">
        <v>5</v>
      </c>
      <c r="H4" s="249" t="s">
        <v>66</v>
      </c>
    </row>
    <row r="5" ht="51.75" customHeight="1" spans="1:8">
      <c r="A5" s="251" t="s">
        <v>471</v>
      </c>
      <c r="B5" s="251">
        <v>350</v>
      </c>
      <c r="C5" s="251">
        <v>350</v>
      </c>
      <c r="D5" s="252">
        <f>'[1]L14'!E5</f>
        <v>650</v>
      </c>
      <c r="E5" s="253" t="s">
        <v>472</v>
      </c>
      <c r="F5" s="253"/>
      <c r="G5" s="253"/>
      <c r="H5" s="254">
        <f>'[1]L14'!J5</f>
        <v>0</v>
      </c>
    </row>
    <row r="6" ht="51.75" customHeight="1" spans="1:8">
      <c r="A6" s="253" t="s">
        <v>473</v>
      </c>
      <c r="B6" s="253"/>
      <c r="C6" s="253"/>
      <c r="D6" s="255">
        <v>0</v>
      </c>
      <c r="E6" s="253" t="s">
        <v>474</v>
      </c>
      <c r="F6" s="253"/>
      <c r="G6" s="253"/>
      <c r="H6" s="255"/>
    </row>
    <row r="7" ht="51.75" customHeight="1" spans="1:8">
      <c r="A7" s="253" t="s">
        <v>475</v>
      </c>
      <c r="B7" s="253"/>
      <c r="C7" s="253"/>
      <c r="D7" s="255">
        <v>0</v>
      </c>
      <c r="E7" s="253" t="s">
        <v>476</v>
      </c>
      <c r="F7" s="253"/>
      <c r="G7" s="253"/>
      <c r="H7" s="255"/>
    </row>
    <row r="8" ht="51.75" customHeight="1" spans="1:8">
      <c r="A8" s="253" t="s">
        <v>477</v>
      </c>
      <c r="B8" s="253"/>
      <c r="C8" s="253"/>
      <c r="D8" s="254">
        <v>0</v>
      </c>
      <c r="E8" s="253" t="s">
        <v>478</v>
      </c>
      <c r="F8" s="253">
        <v>350</v>
      </c>
      <c r="G8" s="253">
        <v>350</v>
      </c>
      <c r="H8" s="254">
        <v>650</v>
      </c>
    </row>
    <row r="9" ht="51.75" customHeight="1" spans="1:8">
      <c r="A9" s="253"/>
      <c r="B9" s="253"/>
      <c r="C9" s="253"/>
      <c r="D9" s="256"/>
      <c r="E9" s="253" t="s">
        <v>479</v>
      </c>
      <c r="F9" s="253"/>
      <c r="G9" s="253"/>
      <c r="H9" s="254">
        <f>D10-SUM(H5:H8)</f>
        <v>0</v>
      </c>
    </row>
    <row r="10" ht="51.75" customHeight="1" spans="1:8">
      <c r="A10" s="249" t="s">
        <v>251</v>
      </c>
      <c r="B10" s="251">
        <v>350</v>
      </c>
      <c r="C10" s="251">
        <v>350</v>
      </c>
      <c r="D10" s="252">
        <f>SUM(D5:D8)</f>
        <v>650</v>
      </c>
      <c r="E10" s="249" t="s">
        <v>252</v>
      </c>
      <c r="F10" s="251">
        <v>350</v>
      </c>
      <c r="G10" s="251">
        <v>350</v>
      </c>
      <c r="H10" s="252">
        <f>SUM(H5:H9)</f>
        <v>650</v>
      </c>
    </row>
  </sheetData>
  <mergeCells count="2">
    <mergeCell ref="A2:H2"/>
    <mergeCell ref="A3:H3"/>
  </mergeCells>
  <pageMargins left="0.984027777777778" right="0.984027777777778" top="0.984027777777778" bottom="0.747916666666667" header="0.314583333333333" footer="0.31458333333333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workbookViewId="0">
      <selection activeCell="B3" sqref="B3:D3"/>
    </sheetView>
  </sheetViews>
  <sheetFormatPr defaultColWidth="9" defaultRowHeight="14.25" outlineLevelCol="3"/>
  <cols>
    <col min="1" max="1" width="30.625" style="231" customWidth="1"/>
    <col min="2" max="4" width="17.625" style="231" customWidth="1"/>
    <col min="5" max="16384" width="9" style="231"/>
  </cols>
  <sheetData>
    <row r="1" ht="21" customHeight="1" spans="1:1">
      <c r="A1" s="232" t="s">
        <v>480</v>
      </c>
    </row>
    <row r="2" ht="42.75" customHeight="1" spans="1:4">
      <c r="A2" s="233" t="s">
        <v>481</v>
      </c>
      <c r="B2" s="233"/>
      <c r="C2" s="233"/>
      <c r="D2" s="233"/>
    </row>
    <row r="3" ht="23.25" customHeight="1" spans="1:4">
      <c r="A3" s="234"/>
      <c r="B3" s="235" t="s">
        <v>482</v>
      </c>
      <c r="C3" s="235"/>
      <c r="D3" s="235"/>
    </row>
    <row r="4" ht="36.75" customHeight="1" spans="1:4">
      <c r="A4" s="236" t="s">
        <v>483</v>
      </c>
      <c r="B4" s="237" t="s">
        <v>484</v>
      </c>
      <c r="C4" s="238" t="s">
        <v>485</v>
      </c>
      <c r="D4" s="239" t="s">
        <v>66</v>
      </c>
    </row>
    <row r="5" ht="34.5" customHeight="1" spans="1:4">
      <c r="A5" s="240" t="s">
        <v>486</v>
      </c>
      <c r="B5" s="241">
        <v>32369</v>
      </c>
      <c r="C5" s="241">
        <v>32369</v>
      </c>
      <c r="D5" s="241">
        <v>32369</v>
      </c>
    </row>
    <row r="6" ht="34.5" customHeight="1" spans="1:4">
      <c r="A6" s="240" t="s">
        <v>487</v>
      </c>
      <c r="B6" s="241">
        <f>SUM(B7:B9,B13,B12)</f>
        <v>19424</v>
      </c>
      <c r="C6" s="241">
        <f>SUM(C7:C9,C13,C12)</f>
        <v>20025</v>
      </c>
      <c r="D6" s="241">
        <f>SUM(D7:D9,D13,D12)</f>
        <v>19280</v>
      </c>
    </row>
    <row r="7" ht="34.5" customHeight="1" spans="1:4">
      <c r="A7" s="242" t="s">
        <v>488</v>
      </c>
      <c r="B7" s="243">
        <v>4261</v>
      </c>
      <c r="C7" s="243">
        <v>4789</v>
      </c>
      <c r="D7" s="244">
        <v>5528</v>
      </c>
    </row>
    <row r="8" ht="34.5" customHeight="1" spans="1:4">
      <c r="A8" s="242" t="s">
        <v>489</v>
      </c>
      <c r="B8" s="243">
        <v>720</v>
      </c>
      <c r="C8" s="243">
        <v>772</v>
      </c>
      <c r="D8" s="244">
        <v>730</v>
      </c>
    </row>
    <row r="9" ht="34.5" customHeight="1" spans="1:4">
      <c r="A9" s="242" t="s">
        <v>490</v>
      </c>
      <c r="B9" s="241">
        <v>14423</v>
      </c>
      <c r="C9" s="241">
        <v>14443</v>
      </c>
      <c r="D9" s="244">
        <f>SUM(D10:D11)</f>
        <v>12997</v>
      </c>
    </row>
    <row r="10" ht="34.5" customHeight="1" spans="1:4">
      <c r="A10" s="245" t="s">
        <v>491</v>
      </c>
      <c r="B10" s="241">
        <v>13201</v>
      </c>
      <c r="C10" s="241">
        <v>13108</v>
      </c>
      <c r="D10" s="244">
        <v>12206</v>
      </c>
    </row>
    <row r="11" ht="34.5" customHeight="1" spans="1:4">
      <c r="A11" s="246" t="s">
        <v>492</v>
      </c>
      <c r="B11" s="241">
        <v>552</v>
      </c>
      <c r="C11" s="241">
        <v>641</v>
      </c>
      <c r="D11" s="244">
        <v>791</v>
      </c>
    </row>
    <row r="12" ht="34.5" customHeight="1" spans="1:4">
      <c r="A12" s="242" t="s">
        <v>493</v>
      </c>
      <c r="B12" s="241"/>
      <c r="C12" s="241">
        <v>11</v>
      </c>
      <c r="D12" s="244">
        <v>14</v>
      </c>
    </row>
    <row r="13" ht="34.5" customHeight="1" spans="1:4">
      <c r="A13" s="242" t="s">
        <v>494</v>
      </c>
      <c r="B13" s="241">
        <v>20</v>
      </c>
      <c r="C13" s="241">
        <v>10</v>
      </c>
      <c r="D13" s="244">
        <v>11</v>
      </c>
    </row>
    <row r="14" ht="34.5" customHeight="1" spans="1:4">
      <c r="A14" s="240" t="s">
        <v>495</v>
      </c>
      <c r="B14" s="241">
        <f>SUM(B15:B19)</f>
        <v>14548</v>
      </c>
      <c r="C14" s="241">
        <f>SUM(C15:C19)</f>
        <v>14624</v>
      </c>
      <c r="D14" s="241">
        <f>SUM(D15:D19)</f>
        <v>14566</v>
      </c>
    </row>
    <row r="15" ht="34.5" customHeight="1" spans="1:4">
      <c r="A15" s="242" t="s">
        <v>496</v>
      </c>
      <c r="B15" s="241">
        <v>13201</v>
      </c>
      <c r="C15" s="241">
        <v>13108</v>
      </c>
      <c r="D15" s="244">
        <v>13105</v>
      </c>
    </row>
    <row r="16" ht="34.5" customHeight="1" spans="1:4">
      <c r="A16" s="242" t="s">
        <v>497</v>
      </c>
      <c r="B16" s="241">
        <v>657</v>
      </c>
      <c r="C16" s="241">
        <v>821</v>
      </c>
      <c r="D16" s="244">
        <v>858</v>
      </c>
    </row>
    <row r="17" ht="34.5" customHeight="1" spans="1:4">
      <c r="A17" s="242" t="s">
        <v>498</v>
      </c>
      <c r="B17" s="241">
        <v>670</v>
      </c>
      <c r="C17" s="241">
        <v>694</v>
      </c>
      <c r="D17" s="244">
        <v>601</v>
      </c>
    </row>
    <row r="18" ht="34.5" customHeight="1" spans="1:4">
      <c r="A18" s="242" t="s">
        <v>499</v>
      </c>
      <c r="B18" s="241"/>
      <c r="C18" s="241"/>
      <c r="D18" s="244"/>
    </row>
    <row r="19" ht="34.5" customHeight="1" spans="1:4">
      <c r="A19" s="242" t="s">
        <v>500</v>
      </c>
      <c r="B19" s="241">
        <v>20</v>
      </c>
      <c r="C19" s="241">
        <v>1</v>
      </c>
      <c r="D19" s="244">
        <v>2</v>
      </c>
    </row>
    <row r="20" ht="34.5" customHeight="1" spans="1:4">
      <c r="A20" s="240" t="s">
        <v>501</v>
      </c>
      <c r="B20" s="241">
        <f>B6-B14</f>
        <v>4876</v>
      </c>
      <c r="C20" s="241">
        <f>C6-C14</f>
        <v>5401</v>
      </c>
      <c r="D20" s="244">
        <f>D6-D14</f>
        <v>4714</v>
      </c>
    </row>
    <row r="21" ht="34.5" customHeight="1" spans="1:4">
      <c r="A21" s="240" t="s">
        <v>502</v>
      </c>
      <c r="B21" s="241">
        <f>B5+B20</f>
        <v>37245</v>
      </c>
      <c r="C21" s="241">
        <f>C5+C20</f>
        <v>37770</v>
      </c>
      <c r="D21" s="244">
        <f>D5+D6-D14</f>
        <v>37083</v>
      </c>
    </row>
  </sheetData>
  <mergeCells count="2">
    <mergeCell ref="A2:D2"/>
    <mergeCell ref="B3:D3"/>
  </mergeCells>
  <pageMargins left="0.904861111111111" right="0.904861111111111" top="0.984027777777778" bottom="0.747916666666667" header="0.314583333333333" footer="0.31458333333333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5"/>
  <sheetViews>
    <sheetView workbookViewId="0">
      <selection activeCell="D3" sqref="D3"/>
    </sheetView>
  </sheetViews>
  <sheetFormatPr defaultColWidth="9" defaultRowHeight="14.25"/>
  <cols>
    <col min="1" max="1" width="35.625" style="138" customWidth="1"/>
    <col min="2" max="4" width="17.75" style="138" customWidth="1"/>
    <col min="5" max="5" width="9" style="138"/>
    <col min="6" max="6" width="9.5" style="138" customWidth="1"/>
    <col min="7" max="16384" width="9" style="138"/>
  </cols>
  <sheetData>
    <row r="1" ht="18" customHeight="1" spans="1:1">
      <c r="A1" s="191" t="s">
        <v>503</v>
      </c>
    </row>
    <row r="2" s="209" customFormat="1" ht="36" customHeight="1" spans="1:256">
      <c r="A2" s="211" t="s">
        <v>504</v>
      </c>
      <c r="B2" s="211"/>
      <c r="C2" s="211"/>
      <c r="D2" s="211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="210" customFormat="1" ht="19.5" customHeight="1" spans="1:256">
      <c r="A3" s="212"/>
      <c r="B3" s="138"/>
      <c r="C3" s="138"/>
      <c r="D3" s="213" t="s">
        <v>2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</row>
    <row r="4" s="210" customFormat="1" ht="27" customHeight="1" spans="1:256">
      <c r="A4" s="214" t="s">
        <v>65</v>
      </c>
      <c r="B4" s="215" t="s">
        <v>505</v>
      </c>
      <c r="C4" s="216" t="s">
        <v>506</v>
      </c>
      <c r="D4" s="215" t="s">
        <v>507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="210" customFormat="1" ht="22.5" customHeight="1" spans="1:256">
      <c r="A5" s="217" t="s">
        <v>9</v>
      </c>
      <c r="B5" s="218">
        <f>SUM(B6:B21)</f>
        <v>24043</v>
      </c>
      <c r="C5" s="218">
        <f>SUM(C6:C21)</f>
        <v>24752</v>
      </c>
      <c r="D5" s="219">
        <f>ROUND((C5-B5)/B5*100,2)</f>
        <v>2.95</v>
      </c>
      <c r="E5" s="138"/>
      <c r="F5" s="138"/>
      <c r="G5" s="220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  <c r="II5" s="138"/>
      <c r="IJ5" s="138"/>
      <c r="IK5" s="138"/>
      <c r="IL5" s="138"/>
      <c r="IM5" s="138"/>
      <c r="IN5" s="138"/>
      <c r="IO5" s="138"/>
      <c r="IP5" s="138"/>
      <c r="IQ5" s="138"/>
      <c r="IR5" s="138"/>
      <c r="IS5" s="138"/>
      <c r="IT5" s="138"/>
      <c r="IU5" s="138"/>
      <c r="IV5" s="138"/>
    </row>
    <row r="6" s="210" customFormat="1" ht="22.5" customHeight="1" spans="1:256">
      <c r="A6" s="221" t="s">
        <v>10</v>
      </c>
      <c r="B6" s="222">
        <v>8476</v>
      </c>
      <c r="C6" s="223">
        <v>7029</v>
      </c>
      <c r="D6" s="219">
        <f t="shared" ref="D6:D31" si="0">ROUND((C6-B6)/B6*100,2)</f>
        <v>-17.07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  <c r="II6" s="138"/>
      <c r="IJ6" s="138"/>
      <c r="IK6" s="138"/>
      <c r="IL6" s="138"/>
      <c r="IM6" s="138"/>
      <c r="IN6" s="138"/>
      <c r="IO6" s="138"/>
      <c r="IP6" s="138"/>
      <c r="IQ6" s="138"/>
      <c r="IR6" s="138"/>
      <c r="IS6" s="138"/>
      <c r="IT6" s="138"/>
      <c r="IU6" s="138"/>
      <c r="IV6" s="138"/>
    </row>
    <row r="7" s="210" customFormat="1" ht="22.5" customHeight="1" spans="1:256">
      <c r="A7" s="221" t="s">
        <v>11</v>
      </c>
      <c r="B7" s="222">
        <v>830</v>
      </c>
      <c r="C7" s="223">
        <v>1100</v>
      </c>
      <c r="D7" s="219">
        <f t="shared" si="0"/>
        <v>32.53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  <c r="IN7" s="138"/>
      <c r="IO7" s="138"/>
      <c r="IP7" s="138"/>
      <c r="IQ7" s="138"/>
      <c r="IR7" s="138"/>
      <c r="IS7" s="138"/>
      <c r="IT7" s="138"/>
      <c r="IU7" s="138"/>
      <c r="IV7" s="138"/>
    </row>
    <row r="8" s="210" customFormat="1" ht="22.5" customHeight="1" spans="1:256">
      <c r="A8" s="221" t="s">
        <v>12</v>
      </c>
      <c r="B8" s="222"/>
      <c r="C8" s="223"/>
      <c r="D8" s="219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</row>
    <row r="9" s="210" customFormat="1" ht="22.5" customHeight="1" spans="1:256">
      <c r="A9" s="221" t="s">
        <v>13</v>
      </c>
      <c r="B9" s="222">
        <v>654</v>
      </c>
      <c r="C9" s="223">
        <v>850</v>
      </c>
      <c r="D9" s="219">
        <f t="shared" si="0"/>
        <v>29.97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  <c r="IV9" s="138"/>
    </row>
    <row r="10" s="210" customFormat="1" ht="22.5" customHeight="1" spans="1:256">
      <c r="A10" s="221" t="s">
        <v>14</v>
      </c>
      <c r="B10" s="222">
        <v>660</v>
      </c>
      <c r="C10" s="223">
        <v>700</v>
      </c>
      <c r="D10" s="219">
        <f t="shared" si="0"/>
        <v>6.06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</row>
    <row r="11" s="210" customFormat="1" ht="22.5" customHeight="1" spans="1:256">
      <c r="A11" s="221" t="s">
        <v>15</v>
      </c>
      <c r="B11" s="222">
        <v>1278</v>
      </c>
      <c r="C11" s="223">
        <v>1500</v>
      </c>
      <c r="D11" s="219">
        <f t="shared" si="0"/>
        <v>17.37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8"/>
      <c r="HA11" s="138"/>
      <c r="HB11" s="138"/>
      <c r="HC11" s="138"/>
      <c r="HD11" s="138"/>
      <c r="HE11" s="138"/>
      <c r="HF11" s="138"/>
      <c r="HG11" s="138"/>
      <c r="HH11" s="138"/>
      <c r="HI11" s="138"/>
      <c r="HJ11" s="138"/>
      <c r="HK11" s="138"/>
      <c r="HL11" s="138"/>
      <c r="HM11" s="138"/>
      <c r="HN11" s="138"/>
      <c r="HO11" s="138"/>
      <c r="HP11" s="138"/>
      <c r="HQ11" s="138"/>
      <c r="HR11" s="138"/>
      <c r="HS11" s="138"/>
      <c r="HT11" s="138"/>
      <c r="HU11" s="138"/>
      <c r="HV11" s="138"/>
      <c r="HW11" s="138"/>
      <c r="HX11" s="138"/>
      <c r="HY11" s="138"/>
      <c r="HZ11" s="138"/>
      <c r="IA11" s="138"/>
      <c r="IB11" s="138"/>
      <c r="IC11" s="138"/>
      <c r="ID11" s="138"/>
      <c r="IE11" s="138"/>
      <c r="IF11" s="138"/>
      <c r="IG11" s="138"/>
      <c r="IH11" s="138"/>
      <c r="II11" s="138"/>
      <c r="IJ11" s="138"/>
      <c r="IK11" s="138"/>
      <c r="IL11" s="138"/>
      <c r="IM11" s="138"/>
      <c r="IN11" s="138"/>
      <c r="IO11" s="138"/>
      <c r="IP11" s="138"/>
      <c r="IQ11" s="138"/>
      <c r="IR11" s="138"/>
      <c r="IS11" s="138"/>
      <c r="IT11" s="138"/>
      <c r="IU11" s="138"/>
      <c r="IV11" s="138"/>
    </row>
    <row r="12" s="210" customFormat="1" ht="22.5" customHeight="1" spans="1:256">
      <c r="A12" s="221" t="s">
        <v>16</v>
      </c>
      <c r="B12" s="222">
        <v>393</v>
      </c>
      <c r="C12" s="223">
        <v>490</v>
      </c>
      <c r="D12" s="219">
        <f t="shared" si="0"/>
        <v>24.68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  <c r="IF12" s="138"/>
      <c r="IG12" s="138"/>
      <c r="IH12" s="138"/>
      <c r="II12" s="138"/>
      <c r="IJ12" s="138"/>
      <c r="IK12" s="138"/>
      <c r="IL12" s="138"/>
      <c r="IM12" s="138"/>
      <c r="IN12" s="138"/>
      <c r="IO12" s="138"/>
      <c r="IP12" s="138"/>
      <c r="IQ12" s="138"/>
      <c r="IR12" s="138"/>
      <c r="IS12" s="138"/>
      <c r="IT12" s="138"/>
      <c r="IU12" s="138"/>
      <c r="IV12" s="138"/>
    </row>
    <row r="13" s="210" customFormat="1" ht="22.5" customHeight="1" spans="1:256">
      <c r="A13" s="221" t="s">
        <v>17</v>
      </c>
      <c r="B13" s="222">
        <v>349</v>
      </c>
      <c r="C13" s="223">
        <v>350</v>
      </c>
      <c r="D13" s="219">
        <f t="shared" si="0"/>
        <v>0.29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  <c r="IF13" s="138"/>
      <c r="IG13" s="138"/>
      <c r="IH13" s="138"/>
      <c r="II13" s="138"/>
      <c r="IJ13" s="138"/>
      <c r="IK13" s="138"/>
      <c r="IL13" s="138"/>
      <c r="IM13" s="138"/>
      <c r="IN13" s="138"/>
      <c r="IO13" s="138"/>
      <c r="IP13" s="138"/>
      <c r="IQ13" s="138"/>
      <c r="IR13" s="138"/>
      <c r="IS13" s="138"/>
      <c r="IT13" s="138"/>
      <c r="IU13" s="138"/>
      <c r="IV13" s="138"/>
    </row>
    <row r="14" s="210" customFormat="1" ht="22.5" customHeight="1" spans="1:256">
      <c r="A14" s="221" t="s">
        <v>18</v>
      </c>
      <c r="B14" s="222">
        <v>281</v>
      </c>
      <c r="C14" s="223">
        <v>380</v>
      </c>
      <c r="D14" s="219">
        <f t="shared" si="0"/>
        <v>35.23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  <c r="IF14" s="138"/>
      <c r="IG14" s="138"/>
      <c r="IH14" s="138"/>
      <c r="II14" s="138"/>
      <c r="IJ14" s="138"/>
      <c r="IK14" s="138"/>
      <c r="IL14" s="138"/>
      <c r="IM14" s="138"/>
      <c r="IN14" s="138"/>
      <c r="IO14" s="138"/>
      <c r="IP14" s="138"/>
      <c r="IQ14" s="138"/>
      <c r="IR14" s="138"/>
      <c r="IS14" s="138"/>
      <c r="IT14" s="138"/>
      <c r="IU14" s="138"/>
      <c r="IV14" s="138"/>
    </row>
    <row r="15" s="210" customFormat="1" ht="22.5" customHeight="1" spans="1:256">
      <c r="A15" s="221" t="s">
        <v>19</v>
      </c>
      <c r="B15" s="222">
        <v>1602</v>
      </c>
      <c r="C15" s="223">
        <v>2100</v>
      </c>
      <c r="D15" s="219">
        <f t="shared" si="0"/>
        <v>31.09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  <c r="IF15" s="138"/>
      <c r="IG15" s="138"/>
      <c r="IH15" s="138"/>
      <c r="II15" s="138"/>
      <c r="IJ15" s="138"/>
      <c r="IK15" s="138"/>
      <c r="IL15" s="138"/>
      <c r="IM15" s="138"/>
      <c r="IN15" s="138"/>
      <c r="IO15" s="138"/>
      <c r="IP15" s="138"/>
      <c r="IQ15" s="138"/>
      <c r="IR15" s="138"/>
      <c r="IS15" s="138"/>
      <c r="IT15" s="138"/>
      <c r="IU15" s="138"/>
      <c r="IV15" s="138"/>
    </row>
    <row r="16" s="210" customFormat="1" ht="22.5" customHeight="1" spans="1:256">
      <c r="A16" s="221" t="s">
        <v>20</v>
      </c>
      <c r="B16" s="222">
        <v>761</v>
      </c>
      <c r="C16" s="223">
        <v>800</v>
      </c>
      <c r="D16" s="219">
        <f t="shared" si="0"/>
        <v>5.12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  <c r="IF16" s="138"/>
      <c r="IG16" s="138"/>
      <c r="IH16" s="138"/>
      <c r="II16" s="138"/>
      <c r="IJ16" s="138"/>
      <c r="IK16" s="138"/>
      <c r="IL16" s="138"/>
      <c r="IM16" s="138"/>
      <c r="IN16" s="138"/>
      <c r="IO16" s="138"/>
      <c r="IP16" s="138"/>
      <c r="IQ16" s="138"/>
      <c r="IR16" s="138"/>
      <c r="IS16" s="138"/>
      <c r="IT16" s="138"/>
      <c r="IU16" s="138"/>
      <c r="IV16" s="138"/>
    </row>
    <row r="17" s="210" customFormat="1" ht="22.5" customHeight="1" spans="1:256">
      <c r="A17" s="221" t="s">
        <v>21</v>
      </c>
      <c r="B17" s="222">
        <v>3532</v>
      </c>
      <c r="C17" s="223">
        <v>4230</v>
      </c>
      <c r="D17" s="219">
        <f t="shared" si="0"/>
        <v>19.76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  <c r="IF17" s="138"/>
      <c r="IG17" s="138"/>
      <c r="IH17" s="138"/>
      <c r="II17" s="138"/>
      <c r="IJ17" s="138"/>
      <c r="IK17" s="138"/>
      <c r="IL17" s="138"/>
      <c r="IM17" s="138"/>
      <c r="IN17" s="138"/>
      <c r="IO17" s="138"/>
      <c r="IP17" s="138"/>
      <c r="IQ17" s="138"/>
      <c r="IR17" s="138"/>
      <c r="IS17" s="138"/>
      <c r="IT17" s="138"/>
      <c r="IU17" s="138"/>
      <c r="IV17" s="138"/>
    </row>
    <row r="18" s="210" customFormat="1" ht="22.5" customHeight="1" spans="1:256">
      <c r="A18" s="221" t="s">
        <v>22</v>
      </c>
      <c r="B18" s="222">
        <v>5188</v>
      </c>
      <c r="C18" s="223">
        <v>5183</v>
      </c>
      <c r="D18" s="219">
        <f t="shared" si="0"/>
        <v>-0.1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</row>
    <row r="19" s="210" customFormat="1" ht="22.5" customHeight="1" spans="1:256">
      <c r="A19" s="221" t="s">
        <v>23</v>
      </c>
      <c r="B19" s="224"/>
      <c r="C19" s="223"/>
      <c r="D19" s="219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  <c r="IP19" s="138"/>
      <c r="IQ19" s="138"/>
      <c r="IR19" s="138"/>
      <c r="IS19" s="138"/>
      <c r="IT19" s="138"/>
      <c r="IU19" s="138"/>
      <c r="IV19" s="138"/>
    </row>
    <row r="20" s="210" customFormat="1" ht="22.5" customHeight="1" spans="1:256">
      <c r="A20" s="221" t="s">
        <v>24</v>
      </c>
      <c r="B20" s="222">
        <v>39</v>
      </c>
      <c r="C20" s="223">
        <v>40</v>
      </c>
      <c r="D20" s="219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  <c r="IF20" s="138"/>
      <c r="IG20" s="138"/>
      <c r="IH20" s="138"/>
      <c r="II20" s="138"/>
      <c r="IJ20" s="138"/>
      <c r="IK20" s="138"/>
      <c r="IL20" s="138"/>
      <c r="IM20" s="138"/>
      <c r="IN20" s="138"/>
      <c r="IO20" s="138"/>
      <c r="IP20" s="138"/>
      <c r="IQ20" s="138"/>
      <c r="IR20" s="138"/>
      <c r="IS20" s="138"/>
      <c r="IT20" s="138"/>
      <c r="IU20" s="138"/>
      <c r="IV20" s="138"/>
    </row>
    <row r="21" s="210" customFormat="1" ht="22.5" customHeight="1" spans="1:256">
      <c r="A21" s="221" t="s">
        <v>25</v>
      </c>
      <c r="B21" s="222"/>
      <c r="C21" s="223"/>
      <c r="D21" s="219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  <c r="IF21" s="138"/>
      <c r="IG21" s="138"/>
      <c r="IH21" s="138"/>
      <c r="II21" s="138"/>
      <c r="IJ21" s="138"/>
      <c r="IK21" s="138"/>
      <c r="IL21" s="138"/>
      <c r="IM21" s="138"/>
      <c r="IN21" s="138"/>
      <c r="IO21" s="138"/>
      <c r="IP21" s="138"/>
      <c r="IQ21" s="138"/>
      <c r="IR21" s="138"/>
      <c r="IS21" s="138"/>
      <c r="IT21" s="138"/>
      <c r="IU21" s="138"/>
      <c r="IV21" s="138"/>
    </row>
    <row r="22" s="210" customFormat="1" ht="22.5" customHeight="1" spans="1:256">
      <c r="A22" s="217" t="s">
        <v>26</v>
      </c>
      <c r="B22" s="218">
        <f>SUM(B23:B29)</f>
        <v>22197</v>
      </c>
      <c r="C22" s="225">
        <f>SUM(C23:C29)</f>
        <v>21950</v>
      </c>
      <c r="D22" s="219">
        <f t="shared" si="0"/>
        <v>-1.11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  <c r="IF22" s="138"/>
      <c r="IG22" s="138"/>
      <c r="IH22" s="138"/>
      <c r="II22" s="138"/>
      <c r="IJ22" s="138"/>
      <c r="IK22" s="138"/>
      <c r="IL22" s="138"/>
      <c r="IM22" s="138"/>
      <c r="IN22" s="138"/>
      <c r="IO22" s="138"/>
      <c r="IP22" s="138"/>
      <c r="IQ22" s="138"/>
      <c r="IR22" s="138"/>
      <c r="IS22" s="138"/>
      <c r="IT22" s="138"/>
      <c r="IU22" s="138"/>
      <c r="IV22" s="138"/>
    </row>
    <row r="23" s="210" customFormat="1" ht="22.5" customHeight="1" spans="1:256">
      <c r="A23" s="221" t="s">
        <v>27</v>
      </c>
      <c r="B23" s="222">
        <v>2117</v>
      </c>
      <c r="C23" s="223">
        <f>2400-200</f>
        <v>2200</v>
      </c>
      <c r="D23" s="219">
        <f t="shared" si="0"/>
        <v>3.92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  <c r="IF23" s="138"/>
      <c r="IG23" s="138"/>
      <c r="IH23" s="138"/>
      <c r="II23" s="138"/>
      <c r="IJ23" s="138"/>
      <c r="IK23" s="138"/>
      <c r="IL23" s="138"/>
      <c r="IM23" s="138"/>
      <c r="IN23" s="138"/>
      <c r="IO23" s="138"/>
      <c r="IP23" s="138"/>
      <c r="IQ23" s="138"/>
      <c r="IR23" s="138"/>
      <c r="IS23" s="138"/>
      <c r="IT23" s="138"/>
      <c r="IU23" s="138"/>
      <c r="IV23" s="138"/>
    </row>
    <row r="24" s="210" customFormat="1" ht="22.5" customHeight="1" spans="1:256">
      <c r="A24" s="221" t="s">
        <v>28</v>
      </c>
      <c r="B24" s="222">
        <v>5632</v>
      </c>
      <c r="C24" s="223">
        <v>4800</v>
      </c>
      <c r="D24" s="219">
        <f t="shared" si="0"/>
        <v>-14.77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  <c r="IF24" s="138"/>
      <c r="IG24" s="138"/>
      <c r="IH24" s="138"/>
      <c r="II24" s="138"/>
      <c r="IJ24" s="138"/>
      <c r="IK24" s="138"/>
      <c r="IL24" s="138"/>
      <c r="IM24" s="138"/>
      <c r="IN24" s="138"/>
      <c r="IO24" s="138"/>
      <c r="IP24" s="138"/>
      <c r="IQ24" s="138"/>
      <c r="IR24" s="138"/>
      <c r="IS24" s="138"/>
      <c r="IT24" s="138"/>
      <c r="IU24" s="138"/>
      <c r="IV24" s="138"/>
    </row>
    <row r="25" s="210" customFormat="1" ht="22.5" customHeight="1" spans="1:256">
      <c r="A25" s="221" t="s">
        <v>29</v>
      </c>
      <c r="B25" s="222">
        <v>5097</v>
      </c>
      <c r="C25" s="223">
        <v>6000</v>
      </c>
      <c r="D25" s="219">
        <f t="shared" si="0"/>
        <v>17.72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  <c r="IF25" s="138"/>
      <c r="IG25" s="138"/>
      <c r="IH25" s="138"/>
      <c r="II25" s="138"/>
      <c r="IJ25" s="138"/>
      <c r="IK25" s="138"/>
      <c r="IL25" s="138"/>
      <c r="IM25" s="138"/>
      <c r="IN25" s="138"/>
      <c r="IO25" s="138"/>
      <c r="IP25" s="138"/>
      <c r="IQ25" s="138"/>
      <c r="IR25" s="138"/>
      <c r="IS25" s="138"/>
      <c r="IT25" s="138"/>
      <c r="IU25" s="138"/>
      <c r="IV25" s="138"/>
    </row>
    <row r="26" s="210" customFormat="1" ht="22.5" customHeight="1" spans="1:256">
      <c r="A26" s="226" t="s">
        <v>30</v>
      </c>
      <c r="B26" s="222">
        <v>2165</v>
      </c>
      <c r="C26" s="223">
        <v>2100</v>
      </c>
      <c r="D26" s="219">
        <f t="shared" si="0"/>
        <v>-3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8"/>
      <c r="IT26" s="138"/>
      <c r="IU26" s="138"/>
      <c r="IV26" s="138"/>
    </row>
    <row r="27" s="210" customFormat="1" ht="22.5" customHeight="1" spans="1:256">
      <c r="A27" s="221" t="s">
        <v>31</v>
      </c>
      <c r="B27" s="222">
        <v>30</v>
      </c>
      <c r="C27" s="223"/>
      <c r="D27" s="219">
        <f t="shared" si="0"/>
        <v>-100</v>
      </c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  <c r="IF27" s="138"/>
      <c r="IG27" s="138"/>
      <c r="IH27" s="138"/>
      <c r="II27" s="138"/>
      <c r="IJ27" s="138"/>
      <c r="IK27" s="138"/>
      <c r="IL27" s="138"/>
      <c r="IM27" s="138"/>
      <c r="IN27" s="138"/>
      <c r="IO27" s="138"/>
      <c r="IP27" s="138"/>
      <c r="IQ27" s="138"/>
      <c r="IR27" s="138"/>
      <c r="IS27" s="138"/>
      <c r="IT27" s="138"/>
      <c r="IU27" s="138"/>
      <c r="IV27" s="138"/>
    </row>
    <row r="28" s="210" customFormat="1" ht="22.5" customHeight="1" spans="1:256">
      <c r="A28" s="221" t="s">
        <v>32</v>
      </c>
      <c r="B28" s="222"/>
      <c r="C28" s="223"/>
      <c r="D28" s="219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  <c r="IF28" s="138"/>
      <c r="IG28" s="138"/>
      <c r="IH28" s="138"/>
      <c r="II28" s="138"/>
      <c r="IJ28" s="138"/>
      <c r="IK28" s="138"/>
      <c r="IL28" s="138"/>
      <c r="IM28" s="138"/>
      <c r="IN28" s="138"/>
      <c r="IO28" s="138"/>
      <c r="IP28" s="138"/>
      <c r="IQ28" s="138"/>
      <c r="IR28" s="138"/>
      <c r="IS28" s="138"/>
      <c r="IT28" s="138"/>
      <c r="IU28" s="138"/>
      <c r="IV28" s="138"/>
    </row>
    <row r="29" s="210" customFormat="1" ht="22.5" customHeight="1" spans="1:256">
      <c r="A29" s="221" t="s">
        <v>33</v>
      </c>
      <c r="B29" s="222">
        <v>7156</v>
      </c>
      <c r="C29" s="223">
        <f>3270+3580</f>
        <v>6850</v>
      </c>
      <c r="D29" s="219">
        <f t="shared" si="0"/>
        <v>-4.28</v>
      </c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  <c r="IF29" s="138"/>
      <c r="IG29" s="138"/>
      <c r="IH29" s="138"/>
      <c r="II29" s="138"/>
      <c r="IJ29" s="138"/>
      <c r="IK29" s="138"/>
      <c r="IL29" s="138"/>
      <c r="IM29" s="138"/>
      <c r="IN29" s="138"/>
      <c r="IO29" s="138"/>
      <c r="IP29" s="138"/>
      <c r="IQ29" s="138"/>
      <c r="IR29" s="138"/>
      <c r="IS29" s="138"/>
      <c r="IT29" s="138"/>
      <c r="IU29" s="138"/>
      <c r="IV29" s="138"/>
    </row>
    <row r="30" s="210" customFormat="1" ht="22.5" customHeight="1" spans="1:256">
      <c r="A30" s="221" t="s">
        <v>508</v>
      </c>
      <c r="B30" s="227"/>
      <c r="C30" s="228"/>
      <c r="D30" s="229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  <c r="IP30" s="138"/>
      <c r="IQ30" s="138"/>
      <c r="IR30" s="138"/>
      <c r="IS30" s="138"/>
      <c r="IT30" s="138"/>
      <c r="IU30" s="138"/>
      <c r="IV30" s="138"/>
    </row>
    <row r="31" s="210" customFormat="1" ht="22.5" customHeight="1" spans="1:256">
      <c r="A31" s="216" t="s">
        <v>509</v>
      </c>
      <c r="B31" s="218">
        <f>B22+B5</f>
        <v>46240</v>
      </c>
      <c r="C31" s="218">
        <f>C22+C5</f>
        <v>46702</v>
      </c>
      <c r="D31" s="219">
        <f t="shared" si="0"/>
        <v>1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  <c r="IF31" s="138"/>
      <c r="IG31" s="138"/>
      <c r="IH31" s="138"/>
      <c r="II31" s="138"/>
      <c r="IJ31" s="138"/>
      <c r="IK31" s="138"/>
      <c r="IL31" s="138"/>
      <c r="IM31" s="138"/>
      <c r="IN31" s="138"/>
      <c r="IO31" s="138"/>
      <c r="IP31" s="138"/>
      <c r="IQ31" s="138"/>
      <c r="IR31" s="138"/>
      <c r="IS31" s="138"/>
      <c r="IT31" s="138"/>
      <c r="IU31" s="138"/>
      <c r="IV31" s="138"/>
    </row>
    <row r="32" s="210" customFormat="1" ht="20.1" customHeight="1" spans="1:256">
      <c r="A32" s="230" t="s">
        <v>508</v>
      </c>
      <c r="B32" s="230"/>
      <c r="C32" s="230"/>
      <c r="D32" s="23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  <c r="IF32" s="138"/>
      <c r="IG32" s="138"/>
      <c r="IH32" s="138"/>
      <c r="II32" s="138"/>
      <c r="IJ32" s="138"/>
      <c r="IK32" s="138"/>
      <c r="IL32" s="138"/>
      <c r="IM32" s="138"/>
      <c r="IN32" s="138"/>
      <c r="IO32" s="138"/>
      <c r="IP32" s="138"/>
      <c r="IQ32" s="138"/>
      <c r="IR32" s="138"/>
      <c r="IS32" s="138"/>
      <c r="IT32" s="138"/>
      <c r="IU32" s="138"/>
      <c r="IV32" s="138"/>
    </row>
    <row r="33" s="210" customFormat="1" ht="20.1" customHeight="1" spans="1:256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  <c r="IF33" s="138"/>
      <c r="IG33" s="138"/>
      <c r="IH33" s="138"/>
      <c r="II33" s="138"/>
      <c r="IJ33" s="138"/>
      <c r="IK33" s="138"/>
      <c r="IL33" s="138"/>
      <c r="IM33" s="138"/>
      <c r="IN33" s="138"/>
      <c r="IO33" s="138"/>
      <c r="IP33" s="138"/>
      <c r="IQ33" s="138"/>
      <c r="IR33" s="138"/>
      <c r="IS33" s="138"/>
      <c r="IT33" s="138"/>
      <c r="IU33" s="138"/>
      <c r="IV33" s="138"/>
    </row>
    <row r="34" s="210" customFormat="1" ht="20.1" customHeight="1" spans="1:256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  <c r="IF34" s="138"/>
      <c r="IG34" s="138"/>
      <c r="IH34" s="138"/>
      <c r="II34" s="138"/>
      <c r="IJ34" s="138"/>
      <c r="IK34" s="138"/>
      <c r="IL34" s="138"/>
      <c r="IM34" s="138"/>
      <c r="IN34" s="138"/>
      <c r="IO34" s="138"/>
      <c r="IP34" s="138"/>
      <c r="IQ34" s="138"/>
      <c r="IR34" s="138"/>
      <c r="IS34" s="138"/>
      <c r="IT34" s="138"/>
      <c r="IU34" s="138"/>
      <c r="IV34" s="138"/>
    </row>
    <row r="35" s="210" customFormat="1" ht="20.1" customHeight="1" spans="1:256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  <c r="IP35" s="138"/>
      <c r="IQ35" s="138"/>
      <c r="IR35" s="138"/>
      <c r="IS35" s="138"/>
      <c r="IT35" s="138"/>
      <c r="IU35" s="138"/>
      <c r="IV35" s="138"/>
    </row>
  </sheetData>
  <mergeCells count="2">
    <mergeCell ref="A2:D2"/>
    <mergeCell ref="A32:D32"/>
  </mergeCells>
  <dataValidations count="1">
    <dataValidation type="whole" operator="between" allowBlank="1" showInputMessage="1" showErrorMessage="1" sqref="B5:C31">
      <formula1>-1000000000000000</formula1>
      <formula2>10000000000000000000</formula2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2019年地方一般公共预算收入执行情况表</vt:lpstr>
      <vt:lpstr>2019年一般公共预算支出执行情况表</vt:lpstr>
      <vt:lpstr>2019年一般公共预算收支执行情况平衡表</vt:lpstr>
      <vt:lpstr>2019年度政府性基金预算收入执行情况表</vt:lpstr>
      <vt:lpstr>2019年政府性基金预算支出执行情况表</vt:lpstr>
      <vt:lpstr>2019年政府性基金预算收支执行情况平衡表</vt:lpstr>
      <vt:lpstr>2019年国有资本经营预算收支执行情况平衡表</vt:lpstr>
      <vt:lpstr>2019年社会保险基金预算收支执行情况平衡表</vt:lpstr>
      <vt:lpstr>2020年地方一般公共预算收入预算表（草案）</vt:lpstr>
      <vt:lpstr>2020年一般公共预算支出预算表（草案）</vt:lpstr>
      <vt:lpstr>2020年一般公共预算收支预算平衡表（草案）</vt:lpstr>
      <vt:lpstr>2020年基本支出经济科目预算明细表</vt:lpstr>
      <vt:lpstr>2020年政府性基金收入预算表（草案）</vt:lpstr>
      <vt:lpstr>2020年政府性基金预算支出预算表（草案）</vt:lpstr>
      <vt:lpstr>2020年政府性基金预算收支平衡表</vt:lpstr>
      <vt:lpstr>2020年国有资本经营收入预算表（草案）</vt:lpstr>
      <vt:lpstr>2020年国有资本经营支出预算表（草案）</vt:lpstr>
      <vt:lpstr>2020年社会保险基金收支预算表（草案）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2021-05-23T08:39:00Z</cp:lastPrinted>
  <dcterms:modified xsi:type="dcterms:W3CDTF">2021-05-31T13:58:52Z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A7832033CF084549B26BDDFDEE90E379</vt:lpwstr>
  </property>
</Properties>
</file>