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225" tabRatio="777" firstSheet="2" activeTab="2"/>
  </bookViews>
  <sheets>
    <sheet name="附表  成本核定审核总表" sheetId="1" r:id="rId1"/>
    <sheet name="附表1-1  四川省巴中运输（集团）有限公司通江县分公司" sheetId="2" r:id="rId2"/>
    <sheet name="附表1-2   通江县利民汽车运输有限责任公司" sheetId="3" r:id="rId3"/>
    <sheet name="附表1-3   四川万顺旅游客运有限公司" sheetId="4" r:id="rId4"/>
    <sheet name="附表1-4   通江县一凡汽车运输有限公司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0">'附表  成本核定审核总表'!$A$1:$M$46</definedName>
    <definedName name="_xlnm.Print_Area" localSheetId="1">'附表1-1  四川省巴中运输（集团）有限公司通江县分公司'!$A$1:$M$45</definedName>
    <definedName name="_xlnm.Print_Titles" localSheetId="4">'附表1-4   通江县一凡汽车运输有限公司'!$1:$4</definedName>
    <definedName name="_xlnm.Print_Titles" localSheetId="3">'附表1-3   四川万顺旅游客运有限公司'!$1:$4</definedName>
    <definedName name="_xlnm.Print_Titles" localSheetId="2">'附表1-2   通江县利民汽车运输有限责任公司'!$1:$4</definedName>
    <definedName name="_xlnm.Print_Titles" localSheetId="1">'附表1-1  四川省巴中运输（集团）有限公司通江县分公司'!$1:$4</definedName>
    <definedName name="_xlnm.Print_Titles" localSheetId="0">'附表  成本核定审核总表'!$1:$4</definedName>
  </definedNames>
  <calcPr fullCalcOnLoad="1"/>
</workbook>
</file>

<file path=xl/sharedStrings.xml><?xml version="1.0" encoding="utf-8"?>
<sst xmlns="http://schemas.openxmlformats.org/spreadsheetml/2006/main" count="599" uniqueCount="172">
  <si>
    <t>附表</t>
  </si>
  <si>
    <t>通江县农村客运车辆单车运营定价成本核定总表</t>
  </si>
  <si>
    <t>项目（单位）</t>
  </si>
  <si>
    <t>栏次及关系</t>
  </si>
  <si>
    <r>
      <t>2021</t>
    </r>
    <r>
      <rPr>
        <b/>
        <sz val="11"/>
        <color indexed="8"/>
        <rFont val="宋体"/>
        <family val="0"/>
      </rPr>
      <t>年</t>
    </r>
  </si>
  <si>
    <r>
      <t>2020</t>
    </r>
    <r>
      <rPr>
        <b/>
        <sz val="11"/>
        <color indexed="8"/>
        <rFont val="宋体"/>
        <family val="0"/>
      </rPr>
      <t>年</t>
    </r>
  </si>
  <si>
    <r>
      <t>2019</t>
    </r>
    <r>
      <rPr>
        <b/>
        <sz val="11"/>
        <color indexed="8"/>
        <rFont val="宋体"/>
        <family val="0"/>
      </rPr>
      <t>年</t>
    </r>
  </si>
  <si>
    <r>
      <t>2019</t>
    </r>
    <r>
      <rPr>
        <b/>
        <sz val="11"/>
        <color indexed="8"/>
        <rFont val="宋体"/>
        <family val="0"/>
      </rPr>
      <t>年</t>
    </r>
    <r>
      <rPr>
        <b/>
        <sz val="11"/>
        <color indexed="8"/>
        <rFont val="Arial Narrow"/>
        <family val="2"/>
      </rPr>
      <t>-2021</t>
    </r>
    <r>
      <rPr>
        <b/>
        <sz val="11"/>
        <color indexed="8"/>
        <rFont val="宋体"/>
        <family val="0"/>
      </rPr>
      <t>年</t>
    </r>
  </si>
  <si>
    <t>说明</t>
  </si>
  <si>
    <t>上报数</t>
  </si>
  <si>
    <t>核定数</t>
  </si>
  <si>
    <t>核增核减合计数</t>
  </si>
  <si>
    <t>上报平均数</t>
  </si>
  <si>
    <t>核增核减平均数</t>
  </si>
  <si>
    <t>审核核定数</t>
  </si>
  <si>
    <t>一、营运农村客运车数量（辆）</t>
  </si>
  <si>
    <t>B1</t>
  </si>
  <si>
    <t>二、平均每车年载客行驶里程（公里）</t>
  </si>
  <si>
    <t>B2</t>
  </si>
  <si>
    <t>平均每月28天计算，2020年因疫情原因按11个月运营计算</t>
  </si>
  <si>
    <t xml:space="preserve"> （一）年行驶里程（公里）</t>
  </si>
  <si>
    <t>B3</t>
  </si>
  <si>
    <t xml:space="preserve"> （二）里程有效使用率（%）</t>
  </si>
  <si>
    <t>B4</t>
  </si>
  <si>
    <t>三、月均载客次数（次/月）</t>
  </si>
  <si>
    <t>B5</t>
  </si>
  <si>
    <t>四、次均行驶里程（公里/次）</t>
  </si>
  <si>
    <t>B6</t>
  </si>
  <si>
    <t>含空载行驶里程</t>
  </si>
  <si>
    <t>五、平均实载率（%）</t>
  </si>
  <si>
    <t>B7</t>
  </si>
  <si>
    <t>六、年收入（元）</t>
  </si>
  <si>
    <t>B8</t>
  </si>
  <si>
    <t>七、政府补助收入</t>
  </si>
  <si>
    <t>B9=∑B（10:11）</t>
  </si>
  <si>
    <t>根据每年政策应补偿金额计算</t>
  </si>
  <si>
    <t xml:space="preserve">    其中：1、燃油补助费</t>
  </si>
  <si>
    <t>B10</t>
  </si>
  <si>
    <t>据实核定</t>
  </si>
  <si>
    <t xml:space="preserve">          2、保险补助费</t>
  </si>
  <si>
    <t>B11</t>
  </si>
  <si>
    <t xml:space="preserve">          3、其他补助费</t>
  </si>
  <si>
    <t>B12</t>
  </si>
  <si>
    <t>八、直接运营费用（元）</t>
  </si>
  <si>
    <t>B13=B14+B17+∑B(19:22)+B28</t>
  </si>
  <si>
    <t xml:space="preserve"> （一）驾驶员薪酬</t>
  </si>
  <si>
    <t>B14=B15+B16</t>
  </si>
  <si>
    <t>年平均工资</t>
  </si>
  <si>
    <t xml:space="preserve">    其中：1、工资</t>
  </si>
  <si>
    <t>B15</t>
  </si>
  <si>
    <t>参照巴中市2019-2021年度灵活就业人员养老保险缴费60%的基数倒算出100%作为工资。</t>
  </si>
  <si>
    <t xml:space="preserve">          2、社会保障费</t>
  </si>
  <si>
    <t>B16</t>
  </si>
  <si>
    <t>参照巴中市2019-2021年度灵活就业人员养老保险缴费档次60%标准购买社保计算。</t>
  </si>
  <si>
    <t xml:space="preserve"> （二）车辆折旧费</t>
  </si>
  <si>
    <t>B17</t>
  </si>
  <si>
    <t>因车辆强制报废残值金额为500元每车，故残值率按3%确定</t>
  </si>
  <si>
    <t xml:space="preserve">       折旧年限</t>
  </si>
  <si>
    <t>B18</t>
  </si>
  <si>
    <t>9座以内的10年，9座以上至25座为15年。</t>
  </si>
  <si>
    <t xml:space="preserve"> （三）车辆保险费</t>
  </si>
  <si>
    <t>B19</t>
  </si>
  <si>
    <t xml:space="preserve"> （四）车辆燃油费</t>
  </si>
  <si>
    <t>B20</t>
  </si>
  <si>
    <t>9座以内100公里12升，10-14座100公里14升，15-19座100公里16升，20-30座100公里20升</t>
  </si>
  <si>
    <t xml:space="preserve"> （五）车辆修理费</t>
  </si>
  <si>
    <t>B21</t>
  </si>
  <si>
    <t>参考网上查询类似项目政务信息公告公示内容，车辆年均修理费一般不得超过购车款的15%，按照5%计算</t>
  </si>
  <si>
    <t xml:space="preserve"> （六）车辆规费</t>
  </si>
  <si>
    <t>B22=∑B(23:27)</t>
  </si>
  <si>
    <t xml:space="preserve"> 其中：1、计价器检测费</t>
  </si>
  <si>
    <t>B23</t>
  </si>
  <si>
    <t xml:space="preserve">       2、机动车年审费</t>
  </si>
  <si>
    <t>B24</t>
  </si>
  <si>
    <t xml:space="preserve">       3、车辆上检费用</t>
  </si>
  <si>
    <t>B25</t>
  </si>
  <si>
    <t xml:space="preserve">       4、车辆监控平台费用</t>
  </si>
  <si>
    <t>B26</t>
  </si>
  <si>
    <t xml:space="preserve">       5、其他费用</t>
  </si>
  <si>
    <t>B27</t>
  </si>
  <si>
    <t xml:space="preserve"> （七）其它运营费用</t>
  </si>
  <si>
    <t>B28</t>
  </si>
  <si>
    <t>九、税费支出（元）</t>
  </si>
  <si>
    <t>B29=∑B(30:34)</t>
  </si>
  <si>
    <t xml:space="preserve">  （一）经营权使用费分摊</t>
  </si>
  <si>
    <t>B30</t>
  </si>
  <si>
    <t xml:space="preserve">  （二）安全管理费</t>
  </si>
  <si>
    <t>B31</t>
  </si>
  <si>
    <t xml:space="preserve">  （三）汽车行业协会会费</t>
  </si>
  <si>
    <t>B32</t>
  </si>
  <si>
    <t xml:space="preserve">  （四）工会经费</t>
  </si>
  <si>
    <t>B33</t>
  </si>
  <si>
    <t xml:space="preserve">  （五）其他费用</t>
  </si>
  <si>
    <t>B34</t>
  </si>
  <si>
    <t>十、利息支出（元）</t>
  </si>
  <si>
    <t>B35</t>
  </si>
  <si>
    <t>十一、客运运行总成本（元）</t>
  </si>
  <si>
    <t>B36=B13+B29+B35</t>
  </si>
  <si>
    <t>定价总成本=直接运营成本+税费支出+利息支出</t>
  </si>
  <si>
    <t>十二、扣减补助收入后成本</t>
  </si>
  <si>
    <t>B37=B36-B9</t>
  </si>
  <si>
    <t>十三、有效乘客数（人/次）</t>
  </si>
  <si>
    <t>B38</t>
  </si>
  <si>
    <t>定价总成本÷年均载客行驶里程数</t>
  </si>
  <si>
    <t>十四、单位人次营运成本（元/人次）</t>
  </si>
  <si>
    <t>B39=B37/B38</t>
  </si>
  <si>
    <t>含空载行驶成本</t>
  </si>
  <si>
    <t>十五、单位人次每公里运营成本（元/人次/公里）</t>
  </si>
  <si>
    <t>B40=B39/B6</t>
  </si>
  <si>
    <t>十六、单车线路平均里程（公里）</t>
  </si>
  <si>
    <t>B41</t>
  </si>
  <si>
    <t>注：本表中的“上报数、核定数、核增核减合计数”均为申报单位平均数；“上报平均数”为申报单位2019年至2021年三个年度平均数；“审核核定数”为申报单位2019年至2021年三个年度审核核定平均数。</t>
  </si>
  <si>
    <t>附表1-1</t>
  </si>
  <si>
    <t>四川省巴中运输（集团）有限公司通江县分公司——农村客运汽车单车运营定价成本核定汇总表</t>
  </si>
  <si>
    <r>
      <t>2019</t>
    </r>
    <r>
      <rPr>
        <b/>
        <sz val="11"/>
        <color indexed="8"/>
        <rFont val="宋体"/>
        <family val="0"/>
      </rPr>
      <t>年</t>
    </r>
    <r>
      <rPr>
        <b/>
        <sz val="11"/>
        <color indexed="8"/>
        <rFont val="Arial Narrow"/>
        <family val="2"/>
      </rPr>
      <t>-2020</t>
    </r>
    <r>
      <rPr>
        <b/>
        <sz val="11"/>
        <color indexed="8"/>
        <rFont val="宋体"/>
        <family val="0"/>
      </rPr>
      <t>年</t>
    </r>
  </si>
  <si>
    <r>
      <t>平均每月</t>
    </r>
    <r>
      <rPr>
        <b/>
        <sz val="10"/>
        <rFont val="Arial Narrow"/>
        <family val="2"/>
      </rPr>
      <t>28</t>
    </r>
    <r>
      <rPr>
        <b/>
        <sz val="10"/>
        <rFont val="宋体"/>
        <family val="0"/>
      </rPr>
      <t>天计算，</t>
    </r>
    <r>
      <rPr>
        <b/>
        <sz val="10"/>
        <rFont val="Arial Narrow"/>
        <family val="2"/>
      </rPr>
      <t>2020</t>
    </r>
    <r>
      <rPr>
        <b/>
        <sz val="10"/>
        <rFont val="宋体"/>
        <family val="0"/>
      </rPr>
      <t>年因疫情原因按</t>
    </r>
    <r>
      <rPr>
        <b/>
        <sz val="10"/>
        <rFont val="Arial Narrow"/>
        <family val="2"/>
      </rPr>
      <t>11</t>
    </r>
    <r>
      <rPr>
        <b/>
        <sz val="10"/>
        <rFont val="宋体"/>
        <family val="0"/>
      </rPr>
      <t>个月运营计算</t>
    </r>
  </si>
  <si>
    <r>
      <t xml:space="preserve"> </t>
    </r>
    <r>
      <rPr>
        <sz val="11"/>
        <color indexed="8"/>
        <rFont val="宋体"/>
        <family val="0"/>
      </rPr>
      <t>（一）年行驶里程（公里）</t>
    </r>
  </si>
  <si>
    <r>
      <t xml:space="preserve"> </t>
    </r>
    <r>
      <rPr>
        <sz val="11"/>
        <rFont val="宋体"/>
        <family val="0"/>
      </rPr>
      <t>（二）里程有效使用率（</t>
    </r>
    <r>
      <rPr>
        <sz val="11"/>
        <rFont val="Arial Narrow"/>
        <family val="2"/>
      </rPr>
      <t>%</t>
    </r>
    <r>
      <rPr>
        <sz val="11"/>
        <rFont val="宋体"/>
        <family val="0"/>
      </rPr>
      <t>）</t>
    </r>
  </si>
  <si>
    <r>
      <t>三、月均载客次数（次</t>
    </r>
    <r>
      <rPr>
        <b/>
        <sz val="11"/>
        <color indexed="8"/>
        <rFont val="Arial Narrow"/>
        <family val="2"/>
      </rPr>
      <t>/</t>
    </r>
    <r>
      <rPr>
        <b/>
        <sz val="11"/>
        <color indexed="8"/>
        <rFont val="宋体"/>
        <family val="0"/>
      </rPr>
      <t>月）</t>
    </r>
  </si>
  <si>
    <r>
      <t>四、次均行驶里程（公里</t>
    </r>
    <r>
      <rPr>
        <b/>
        <sz val="11"/>
        <color indexed="8"/>
        <rFont val="Arial Narrow"/>
        <family val="2"/>
      </rPr>
      <t>/</t>
    </r>
    <r>
      <rPr>
        <b/>
        <sz val="11"/>
        <color indexed="8"/>
        <rFont val="宋体"/>
        <family val="0"/>
      </rPr>
      <t>次）</t>
    </r>
  </si>
  <si>
    <r>
      <t>五、平均实载率（</t>
    </r>
    <r>
      <rPr>
        <b/>
        <sz val="11"/>
        <color indexed="8"/>
        <rFont val="Arial Narrow"/>
        <family val="2"/>
      </rPr>
      <t>%</t>
    </r>
    <r>
      <rPr>
        <b/>
        <sz val="11"/>
        <color indexed="8"/>
        <rFont val="宋体"/>
        <family val="0"/>
      </rPr>
      <t>）</t>
    </r>
  </si>
  <si>
    <r>
      <t>B9=∑B</t>
    </r>
    <r>
      <rPr>
        <b/>
        <sz val="11"/>
        <rFont val="宋体"/>
        <family val="0"/>
      </rPr>
      <t>（</t>
    </r>
    <r>
      <rPr>
        <b/>
        <sz val="11"/>
        <rFont val="Arial Narrow"/>
        <family val="2"/>
      </rPr>
      <t>10:11</t>
    </r>
    <r>
      <rPr>
        <b/>
        <sz val="11"/>
        <rFont val="宋体"/>
        <family val="0"/>
      </rPr>
      <t>）</t>
    </r>
  </si>
  <si>
    <r>
      <t xml:space="preserve">    </t>
    </r>
    <r>
      <rPr>
        <sz val="11"/>
        <color indexed="8"/>
        <rFont val="宋体"/>
        <family val="0"/>
      </rPr>
      <t>其中：</t>
    </r>
    <r>
      <rPr>
        <sz val="11"/>
        <color indexed="8"/>
        <rFont val="Arial Narrow"/>
        <family val="2"/>
      </rPr>
      <t>1</t>
    </r>
    <r>
      <rPr>
        <sz val="11"/>
        <color indexed="8"/>
        <rFont val="宋体"/>
        <family val="0"/>
      </rPr>
      <t>、燃油补助费</t>
    </r>
  </si>
  <si>
    <r>
      <t xml:space="preserve">          2</t>
    </r>
    <r>
      <rPr>
        <sz val="11"/>
        <color indexed="8"/>
        <rFont val="宋体"/>
        <family val="0"/>
      </rPr>
      <t>、保险补助费</t>
    </r>
  </si>
  <si>
    <r>
      <t xml:space="preserve">          3</t>
    </r>
    <r>
      <rPr>
        <sz val="11"/>
        <color indexed="8"/>
        <rFont val="宋体"/>
        <family val="0"/>
      </rPr>
      <t>、其他补助费</t>
    </r>
  </si>
  <si>
    <r>
      <t xml:space="preserve"> </t>
    </r>
    <r>
      <rPr>
        <sz val="11"/>
        <color indexed="8"/>
        <rFont val="宋体"/>
        <family val="0"/>
      </rPr>
      <t>（一）驾驶员薪酬</t>
    </r>
  </si>
  <si>
    <r>
      <t xml:space="preserve">    </t>
    </r>
    <r>
      <rPr>
        <sz val="11"/>
        <color indexed="8"/>
        <rFont val="宋体"/>
        <family val="0"/>
      </rPr>
      <t>其中：</t>
    </r>
    <r>
      <rPr>
        <sz val="11"/>
        <color indexed="8"/>
        <rFont val="Arial Narrow"/>
        <family val="2"/>
      </rPr>
      <t>1</t>
    </r>
    <r>
      <rPr>
        <sz val="11"/>
        <color indexed="8"/>
        <rFont val="宋体"/>
        <family val="0"/>
      </rPr>
      <t>、工资</t>
    </r>
  </si>
  <si>
    <r>
      <t xml:space="preserve">          2</t>
    </r>
    <r>
      <rPr>
        <sz val="11"/>
        <color indexed="8"/>
        <rFont val="宋体"/>
        <family val="0"/>
      </rPr>
      <t>、社会保障费</t>
    </r>
  </si>
  <si>
    <r>
      <t>参照巴中市</t>
    </r>
    <r>
      <rPr>
        <sz val="10"/>
        <rFont val="Arial Narrow"/>
        <family val="2"/>
      </rPr>
      <t>2019-2021</t>
    </r>
    <r>
      <rPr>
        <sz val="10"/>
        <rFont val="宋体"/>
        <family val="0"/>
      </rPr>
      <t>年度灵活就业人员养老保险缴费档次最低标准购买社保计算。</t>
    </r>
  </si>
  <si>
    <r>
      <t xml:space="preserve"> </t>
    </r>
    <r>
      <rPr>
        <sz val="11"/>
        <rFont val="宋体"/>
        <family val="0"/>
      </rPr>
      <t>（二）车辆折旧费</t>
    </r>
  </si>
  <si>
    <r>
      <t>因车辆强制报废残值金额为</t>
    </r>
    <r>
      <rPr>
        <sz val="10"/>
        <rFont val="Arial Narrow"/>
        <family val="2"/>
      </rPr>
      <t>500</t>
    </r>
    <r>
      <rPr>
        <sz val="10"/>
        <rFont val="宋体"/>
        <family val="0"/>
      </rPr>
      <t>元每车，故残值率按</t>
    </r>
    <r>
      <rPr>
        <sz val="10"/>
        <rFont val="Arial Narrow"/>
        <family val="2"/>
      </rPr>
      <t>3%</t>
    </r>
    <r>
      <rPr>
        <sz val="10"/>
        <rFont val="宋体"/>
        <family val="0"/>
      </rPr>
      <t>确定</t>
    </r>
  </si>
  <si>
    <r>
      <t xml:space="preserve">       </t>
    </r>
    <r>
      <rPr>
        <sz val="11"/>
        <rFont val="宋体"/>
        <family val="0"/>
      </rPr>
      <t>折旧年限</t>
    </r>
  </si>
  <si>
    <r>
      <t xml:space="preserve"> </t>
    </r>
    <r>
      <rPr>
        <sz val="11"/>
        <color indexed="8"/>
        <rFont val="宋体"/>
        <family val="0"/>
      </rPr>
      <t>（三）车辆保险费</t>
    </r>
  </si>
  <si>
    <r>
      <t xml:space="preserve"> </t>
    </r>
    <r>
      <rPr>
        <sz val="11"/>
        <color indexed="8"/>
        <rFont val="宋体"/>
        <family val="0"/>
      </rPr>
      <t>（四）车辆燃油费</t>
    </r>
  </si>
  <si>
    <r>
      <t>9</t>
    </r>
    <r>
      <rPr>
        <sz val="10"/>
        <rFont val="宋体"/>
        <family val="0"/>
      </rPr>
      <t>座以内</t>
    </r>
    <r>
      <rPr>
        <sz val="10"/>
        <rFont val="Arial Narrow"/>
        <family val="2"/>
      </rPr>
      <t>100</t>
    </r>
    <r>
      <rPr>
        <sz val="10"/>
        <rFont val="宋体"/>
        <family val="0"/>
      </rPr>
      <t>公里</t>
    </r>
    <r>
      <rPr>
        <sz val="10"/>
        <rFont val="Arial Narrow"/>
        <family val="2"/>
      </rPr>
      <t>12</t>
    </r>
    <r>
      <rPr>
        <sz val="10"/>
        <rFont val="宋体"/>
        <family val="0"/>
      </rPr>
      <t>升，</t>
    </r>
    <r>
      <rPr>
        <sz val="10"/>
        <rFont val="Arial Narrow"/>
        <family val="2"/>
      </rPr>
      <t>10-14</t>
    </r>
    <r>
      <rPr>
        <sz val="10"/>
        <rFont val="宋体"/>
        <family val="0"/>
      </rPr>
      <t>座</t>
    </r>
    <r>
      <rPr>
        <sz val="10"/>
        <rFont val="Arial Narrow"/>
        <family val="2"/>
      </rPr>
      <t>100</t>
    </r>
    <r>
      <rPr>
        <sz val="10"/>
        <rFont val="宋体"/>
        <family val="0"/>
      </rPr>
      <t>公里</t>
    </r>
    <r>
      <rPr>
        <sz val="10"/>
        <rFont val="Arial Narrow"/>
        <family val="2"/>
      </rPr>
      <t>14</t>
    </r>
    <r>
      <rPr>
        <sz val="10"/>
        <rFont val="宋体"/>
        <family val="0"/>
      </rPr>
      <t>升，</t>
    </r>
    <r>
      <rPr>
        <sz val="10"/>
        <rFont val="Arial Narrow"/>
        <family val="2"/>
      </rPr>
      <t>15-19</t>
    </r>
    <r>
      <rPr>
        <sz val="10"/>
        <rFont val="宋体"/>
        <family val="0"/>
      </rPr>
      <t>座</t>
    </r>
    <r>
      <rPr>
        <sz val="10"/>
        <rFont val="Arial Narrow"/>
        <family val="2"/>
      </rPr>
      <t>100</t>
    </r>
    <r>
      <rPr>
        <sz val="10"/>
        <rFont val="宋体"/>
        <family val="0"/>
      </rPr>
      <t>公里</t>
    </r>
    <r>
      <rPr>
        <sz val="10"/>
        <rFont val="Arial Narrow"/>
        <family val="2"/>
      </rPr>
      <t>16</t>
    </r>
    <r>
      <rPr>
        <sz val="10"/>
        <rFont val="宋体"/>
        <family val="0"/>
      </rPr>
      <t>升，</t>
    </r>
    <r>
      <rPr>
        <sz val="10"/>
        <rFont val="Arial Narrow"/>
        <family val="2"/>
      </rPr>
      <t>20-30</t>
    </r>
    <r>
      <rPr>
        <sz val="10"/>
        <rFont val="宋体"/>
        <family val="0"/>
      </rPr>
      <t>座</t>
    </r>
    <r>
      <rPr>
        <sz val="10"/>
        <rFont val="Arial Narrow"/>
        <family val="2"/>
      </rPr>
      <t>100</t>
    </r>
    <r>
      <rPr>
        <sz val="10"/>
        <rFont val="宋体"/>
        <family val="0"/>
      </rPr>
      <t>公里</t>
    </r>
    <r>
      <rPr>
        <sz val="10"/>
        <rFont val="Arial Narrow"/>
        <family val="2"/>
      </rPr>
      <t>20</t>
    </r>
    <r>
      <rPr>
        <sz val="10"/>
        <rFont val="宋体"/>
        <family val="0"/>
      </rPr>
      <t>升</t>
    </r>
  </si>
  <si>
    <r>
      <t xml:space="preserve"> </t>
    </r>
    <r>
      <rPr>
        <sz val="11"/>
        <color indexed="8"/>
        <rFont val="宋体"/>
        <family val="0"/>
      </rPr>
      <t>（五）车辆修理费</t>
    </r>
  </si>
  <si>
    <r>
      <t>参考网上查询类似项目政务信息公告公示内容，车辆年均修理费一般不得超过购车款的</t>
    </r>
    <r>
      <rPr>
        <sz val="10"/>
        <rFont val="Arial Narrow"/>
        <family val="2"/>
      </rPr>
      <t>15%</t>
    </r>
    <r>
      <rPr>
        <sz val="10"/>
        <rFont val="宋体"/>
        <family val="0"/>
      </rPr>
      <t>，按照</t>
    </r>
    <r>
      <rPr>
        <sz val="10"/>
        <rFont val="Arial Narrow"/>
        <family val="2"/>
      </rPr>
      <t>5%</t>
    </r>
    <r>
      <rPr>
        <sz val="10"/>
        <rFont val="宋体"/>
        <family val="0"/>
      </rPr>
      <t>计算</t>
    </r>
  </si>
  <si>
    <r>
      <t xml:space="preserve"> </t>
    </r>
    <r>
      <rPr>
        <sz val="11"/>
        <color indexed="8"/>
        <rFont val="宋体"/>
        <family val="0"/>
      </rPr>
      <t>（六）车辆规费</t>
    </r>
  </si>
  <si>
    <r>
      <t xml:space="preserve"> </t>
    </r>
    <r>
      <rPr>
        <sz val="11"/>
        <color indexed="8"/>
        <rFont val="宋体"/>
        <family val="0"/>
      </rPr>
      <t>其中：</t>
    </r>
    <r>
      <rPr>
        <sz val="11"/>
        <color indexed="8"/>
        <rFont val="Arial Narrow"/>
        <family val="2"/>
      </rPr>
      <t>1</t>
    </r>
    <r>
      <rPr>
        <sz val="11"/>
        <color indexed="8"/>
        <rFont val="宋体"/>
        <family val="0"/>
      </rPr>
      <t>、计价器检测费</t>
    </r>
  </si>
  <si>
    <r>
      <t xml:space="preserve">       2</t>
    </r>
    <r>
      <rPr>
        <sz val="11"/>
        <color indexed="8"/>
        <rFont val="宋体"/>
        <family val="0"/>
      </rPr>
      <t>、机动车年审费</t>
    </r>
  </si>
  <si>
    <r>
      <t xml:space="preserve">       3</t>
    </r>
    <r>
      <rPr>
        <sz val="11"/>
        <color indexed="8"/>
        <rFont val="宋体"/>
        <family val="0"/>
      </rPr>
      <t>、车辆上检费用</t>
    </r>
  </si>
  <si>
    <r>
      <t xml:space="preserve">       4</t>
    </r>
    <r>
      <rPr>
        <sz val="11"/>
        <color indexed="8"/>
        <rFont val="宋体"/>
        <family val="0"/>
      </rPr>
      <t>、车辆监控平台费用</t>
    </r>
  </si>
  <si>
    <r>
      <t xml:space="preserve">       5</t>
    </r>
    <r>
      <rPr>
        <sz val="11"/>
        <color indexed="8"/>
        <rFont val="宋体"/>
        <family val="0"/>
      </rPr>
      <t>、其他费用</t>
    </r>
  </si>
  <si>
    <r>
      <t xml:space="preserve"> </t>
    </r>
    <r>
      <rPr>
        <sz val="11"/>
        <color indexed="8"/>
        <rFont val="宋体"/>
        <family val="0"/>
      </rPr>
      <t>（七）其它运营费用</t>
    </r>
  </si>
  <si>
    <r>
      <t xml:space="preserve">  </t>
    </r>
    <r>
      <rPr>
        <sz val="11"/>
        <color indexed="8"/>
        <rFont val="宋体"/>
        <family val="0"/>
      </rPr>
      <t>（一）经营权使用费分摊</t>
    </r>
  </si>
  <si>
    <r>
      <t xml:space="preserve">  </t>
    </r>
    <r>
      <rPr>
        <sz val="11"/>
        <color indexed="8"/>
        <rFont val="宋体"/>
        <family val="0"/>
      </rPr>
      <t>（二）安全管理费</t>
    </r>
  </si>
  <si>
    <r>
      <t xml:space="preserve">  </t>
    </r>
    <r>
      <rPr>
        <sz val="11"/>
        <color indexed="8"/>
        <rFont val="宋体"/>
        <family val="0"/>
      </rPr>
      <t>（三）汽车行业协会会费</t>
    </r>
  </si>
  <si>
    <r>
      <t xml:space="preserve">  </t>
    </r>
    <r>
      <rPr>
        <sz val="11"/>
        <color indexed="8"/>
        <rFont val="宋体"/>
        <family val="0"/>
      </rPr>
      <t>（四）工会经费</t>
    </r>
  </si>
  <si>
    <r>
      <t xml:space="preserve">  </t>
    </r>
    <r>
      <rPr>
        <sz val="11"/>
        <color indexed="8"/>
        <rFont val="宋体"/>
        <family val="0"/>
      </rPr>
      <t>（五）其他费用</t>
    </r>
  </si>
  <si>
    <r>
      <t>定价总成本</t>
    </r>
    <r>
      <rPr>
        <b/>
        <sz val="10"/>
        <rFont val="Arial Narrow"/>
        <family val="2"/>
      </rPr>
      <t>=</t>
    </r>
    <r>
      <rPr>
        <b/>
        <sz val="10"/>
        <rFont val="宋体"/>
        <family val="0"/>
      </rPr>
      <t>直接运营成本</t>
    </r>
    <r>
      <rPr>
        <b/>
        <sz val="10"/>
        <rFont val="Arial Narrow"/>
        <family val="2"/>
      </rPr>
      <t>+</t>
    </r>
    <r>
      <rPr>
        <b/>
        <sz val="10"/>
        <rFont val="宋体"/>
        <family val="0"/>
      </rPr>
      <t>税费支出</t>
    </r>
    <r>
      <rPr>
        <b/>
        <sz val="10"/>
        <rFont val="Arial Narrow"/>
        <family val="2"/>
      </rPr>
      <t>+</t>
    </r>
    <r>
      <rPr>
        <b/>
        <sz val="10"/>
        <rFont val="宋体"/>
        <family val="0"/>
      </rPr>
      <t>利息支出</t>
    </r>
  </si>
  <si>
    <r>
      <t>十三、有效乘客数（人</t>
    </r>
    <r>
      <rPr>
        <b/>
        <sz val="11"/>
        <color indexed="8"/>
        <rFont val="Arial Narrow"/>
        <family val="2"/>
      </rPr>
      <t>/</t>
    </r>
    <r>
      <rPr>
        <b/>
        <sz val="11"/>
        <color indexed="8"/>
        <rFont val="宋体"/>
        <family val="0"/>
      </rPr>
      <t>次）</t>
    </r>
  </si>
  <si>
    <r>
      <t>定价总成本</t>
    </r>
    <r>
      <rPr>
        <b/>
        <sz val="11"/>
        <rFont val="Arial Narrow"/>
        <family val="2"/>
      </rPr>
      <t>÷</t>
    </r>
    <r>
      <rPr>
        <b/>
        <sz val="11"/>
        <rFont val="宋体"/>
        <family val="0"/>
      </rPr>
      <t>年均载客行驶里程数</t>
    </r>
  </si>
  <si>
    <r>
      <t>十四、单位人次营运成本（元</t>
    </r>
    <r>
      <rPr>
        <b/>
        <sz val="11"/>
        <color indexed="8"/>
        <rFont val="Arial Narrow"/>
        <family val="2"/>
      </rPr>
      <t>/</t>
    </r>
    <r>
      <rPr>
        <b/>
        <sz val="11"/>
        <color indexed="8"/>
        <rFont val="宋体"/>
        <family val="0"/>
      </rPr>
      <t>人次）</t>
    </r>
  </si>
  <si>
    <r>
      <t>十五、单位人次每公里运营成本（元</t>
    </r>
    <r>
      <rPr>
        <b/>
        <sz val="11"/>
        <color indexed="8"/>
        <rFont val="Arial Narrow"/>
        <family val="2"/>
      </rPr>
      <t>/</t>
    </r>
    <r>
      <rPr>
        <b/>
        <sz val="11"/>
        <color indexed="8"/>
        <rFont val="宋体"/>
        <family val="0"/>
      </rPr>
      <t>人次</t>
    </r>
    <r>
      <rPr>
        <b/>
        <sz val="11"/>
        <color indexed="8"/>
        <rFont val="Arial Narrow"/>
        <family val="2"/>
      </rPr>
      <t>/</t>
    </r>
    <r>
      <rPr>
        <b/>
        <sz val="11"/>
        <color indexed="8"/>
        <rFont val="宋体"/>
        <family val="0"/>
      </rPr>
      <t>公里）</t>
    </r>
  </si>
  <si>
    <t>附表1-2</t>
  </si>
  <si>
    <t>通江县利民汽车运输有限责任公司——农村客运汽车单车运营定价成本核定汇总表</t>
  </si>
  <si>
    <t>根据每年应补助金额计算</t>
  </si>
  <si>
    <t>参照巴中市2019-2021年度灵活就业人员养老保险缴费档次最低标准购买社保计算</t>
  </si>
  <si>
    <t>参考网上查询类似项目政务信息公告公示内容，车辆年均修理费一般不得超过购车款的15%，按照5%计算。</t>
  </si>
  <si>
    <t>检测费+二级维护费+春检费+进站费</t>
  </si>
  <si>
    <t>附表1-3</t>
  </si>
  <si>
    <t>四川万顺旅游客运有限公司——农村客运汽车单车运营定价成本核定汇总表</t>
  </si>
  <si>
    <r>
      <t>2020</t>
    </r>
    <r>
      <rPr>
        <b/>
        <sz val="11"/>
        <color indexed="8"/>
        <rFont val="宋体"/>
        <family val="0"/>
      </rPr>
      <t>年</t>
    </r>
    <r>
      <rPr>
        <b/>
        <sz val="11"/>
        <color indexed="8"/>
        <rFont val="Arial Narrow"/>
        <family val="2"/>
      </rPr>
      <t>-2021</t>
    </r>
    <r>
      <rPr>
        <b/>
        <sz val="11"/>
        <color indexed="8"/>
        <rFont val="宋体"/>
        <family val="0"/>
      </rPr>
      <t>年</t>
    </r>
  </si>
  <si>
    <t>万顺2020年开始开展经营农村客运</t>
  </si>
  <si>
    <t>每年根据应补助收入计算</t>
  </si>
  <si>
    <t>参照巴中市2019-2021年度灵活就业人员养老保险缴费档次60%标准购买社保计算</t>
  </si>
  <si>
    <t>附表1-4</t>
  </si>
  <si>
    <t>通江县一凡汽车运输有限责任公司——农村客运汽车单车运营定价成本核定汇总表</t>
  </si>
  <si>
    <t>审核平均数</t>
  </si>
  <si>
    <t>一凡公司2020年9月取得道路运输经营许可证，2020年12月部分车辆开始上户，当年未实际经营</t>
  </si>
  <si>
    <t>收2019年补助</t>
  </si>
  <si>
    <t>9座以内100公里12升，10-14座100公里14升，15-19座100公里16升，20-30座100公里20升，根据出厂油价上浮10%-20%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</si>
</sst>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00000_ "/>
  </numFmts>
  <fonts count="9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b/>
      <sz val="14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1"/>
      <color indexed="8"/>
      <name val="Arial Narrow"/>
      <family val="2"/>
    </font>
    <font>
      <b/>
      <sz val="10"/>
      <color indexed="8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1"/>
      <color indexed="8"/>
      <name val="Arial Narrow"/>
      <family val="2"/>
    </font>
    <font>
      <sz val="9"/>
      <name val="宋体"/>
      <family val="0"/>
    </font>
    <font>
      <b/>
      <sz val="11"/>
      <name val="Arial Narrow"/>
      <family val="2"/>
    </font>
    <font>
      <b/>
      <sz val="9"/>
      <color indexed="10"/>
      <name val="宋体"/>
      <family val="0"/>
    </font>
    <font>
      <sz val="9"/>
      <color indexed="10"/>
      <name val="宋体"/>
      <family val="0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sz val="11"/>
      <name val="Arial Narrow"/>
      <family val="2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0"/>
      <name val="宋体"/>
      <family val="0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b/>
      <sz val="18"/>
      <color indexed="8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0"/>
      <name val="Arial Narrow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2"/>
      <color theme="1"/>
      <name val="黑体"/>
      <family val="3"/>
    </font>
    <font>
      <b/>
      <sz val="14"/>
      <color theme="1"/>
      <name val="方正小标宋简体"/>
      <family val="4"/>
    </font>
    <font>
      <b/>
      <sz val="11"/>
      <color theme="1"/>
      <name val="Arial Narrow"/>
      <family val="2"/>
    </font>
    <font>
      <b/>
      <sz val="10"/>
      <color theme="1"/>
      <name val="Calibri"/>
      <family val="0"/>
    </font>
    <font>
      <b/>
      <sz val="11"/>
      <color theme="1"/>
      <name val="宋体"/>
      <family val="0"/>
    </font>
    <font>
      <b/>
      <sz val="11"/>
      <name val="Calibri"/>
      <family val="0"/>
    </font>
    <font>
      <b/>
      <sz val="9"/>
      <name val="Calibri"/>
      <family val="0"/>
    </font>
    <font>
      <sz val="11"/>
      <color theme="1"/>
      <name val="Arial Narrow"/>
      <family val="2"/>
    </font>
    <font>
      <sz val="9"/>
      <name val="Calibri"/>
      <family val="0"/>
    </font>
    <font>
      <b/>
      <sz val="9"/>
      <color rgb="FFFF0000"/>
      <name val="Calibri"/>
      <family val="0"/>
    </font>
    <font>
      <sz val="9"/>
      <color rgb="FFFF0000"/>
      <name val="Calibri"/>
      <family val="0"/>
    </font>
    <font>
      <sz val="11"/>
      <color rgb="FF000000"/>
      <name val="宋体"/>
      <family val="0"/>
    </font>
    <font>
      <sz val="18"/>
      <color theme="1"/>
      <name val="宋体"/>
      <family val="0"/>
    </font>
    <font>
      <sz val="12"/>
      <name val="Calibri"/>
      <family val="0"/>
    </font>
    <font>
      <b/>
      <sz val="18"/>
      <color theme="1"/>
      <name val="宋体"/>
      <family val="0"/>
    </font>
    <font>
      <b/>
      <sz val="11"/>
      <color rgb="FFFF0000"/>
      <name val="Calibri"/>
      <family val="0"/>
    </font>
    <font>
      <sz val="11"/>
      <color rgb="FF000000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sz val="10"/>
      <color rgb="FFFF0000"/>
      <name val="Arial Narrow"/>
      <family val="2"/>
    </font>
    <font>
      <sz val="18"/>
      <color theme="1"/>
      <name val="Calibri"/>
      <family val="0"/>
    </font>
    <font>
      <b/>
      <sz val="18"/>
      <color theme="1"/>
      <name val="方正小标宋简体"/>
      <family val="4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" borderId="1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3" borderId="4" applyNumberFormat="0" applyAlignment="0" applyProtection="0"/>
    <xf numFmtId="0" fontId="57" fillId="4" borderId="5" applyNumberFormat="0" applyAlignment="0" applyProtection="0"/>
    <xf numFmtId="0" fontId="58" fillId="4" borderId="4" applyNumberFormat="0" applyAlignment="0" applyProtection="0"/>
    <xf numFmtId="0" fontId="59" fillId="5" borderId="6" applyNumberForma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6" borderId="0" applyNumberFormat="0" applyBorder="0" applyAlignment="0" applyProtection="0"/>
    <xf numFmtId="0" fontId="63" fillId="7" borderId="0" applyNumberFormat="0" applyBorder="0" applyAlignment="0" applyProtection="0"/>
    <xf numFmtId="0" fontId="64" fillId="8" borderId="0" applyNumberFormat="0" applyBorder="0" applyAlignment="0" applyProtection="0"/>
    <xf numFmtId="0" fontId="65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5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67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justify" vertical="center"/>
    </xf>
    <xf numFmtId="0" fontId="71" fillId="0" borderId="0" xfId="0" applyFont="1" applyFill="1" applyBorder="1" applyAlignment="1">
      <alignment horizontal="justify" vertical="center"/>
    </xf>
    <xf numFmtId="0" fontId="72" fillId="0" borderId="0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74" fillId="0" borderId="9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74" fillId="0" borderId="14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left" wrapText="1"/>
    </xf>
    <xf numFmtId="176" fontId="73" fillId="0" borderId="10" xfId="0" applyNumberFormat="1" applyFont="1" applyFill="1" applyBorder="1" applyAlignment="1">
      <alignment horizontal="right" shrinkToFit="1"/>
    </xf>
    <xf numFmtId="177" fontId="73" fillId="0" borderId="10" xfId="0" applyNumberFormat="1" applyFont="1" applyFill="1" applyBorder="1" applyAlignment="1">
      <alignment horizontal="right" shrinkToFit="1"/>
    </xf>
    <xf numFmtId="0" fontId="77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left" wrapText="1"/>
    </xf>
    <xf numFmtId="0" fontId="77" fillId="0" borderId="10" xfId="0" applyFont="1" applyFill="1" applyBorder="1" applyAlignment="1">
      <alignment horizontal="left" wrapText="1"/>
    </xf>
    <xf numFmtId="0" fontId="66" fillId="0" borderId="10" xfId="0" applyFont="1" applyFill="1" applyBorder="1" applyAlignment="1">
      <alignment horizontal="left" wrapText="1"/>
    </xf>
    <xf numFmtId="0" fontId="69" fillId="0" borderId="10" xfId="0" applyFont="1" applyFill="1" applyBorder="1" applyAlignment="1">
      <alignment horizontal="left" wrapText="1"/>
    </xf>
    <xf numFmtId="177" fontId="78" fillId="0" borderId="10" xfId="0" applyNumberFormat="1" applyFont="1" applyFill="1" applyBorder="1" applyAlignment="1">
      <alignment horizontal="right" shrinkToFit="1"/>
    </xf>
    <xf numFmtId="0" fontId="79" fillId="0" borderId="10" xfId="0" applyFont="1" applyFill="1" applyBorder="1" applyAlignment="1">
      <alignment horizontal="left" vertical="center" wrapText="1"/>
    </xf>
    <xf numFmtId="177" fontId="15" fillId="0" borderId="10" xfId="0" applyNumberFormat="1" applyFont="1" applyFill="1" applyBorder="1" applyAlignment="1">
      <alignment horizontal="right" shrinkToFit="1"/>
    </xf>
    <xf numFmtId="0" fontId="80" fillId="0" borderId="10" xfId="0" applyFont="1" applyFill="1" applyBorder="1" applyAlignment="1">
      <alignment horizontal="left" vertical="center" wrapText="1"/>
    </xf>
    <xf numFmtId="0" fontId="79" fillId="0" borderId="10" xfId="0" applyFont="1" applyFill="1" applyBorder="1" applyAlignment="1">
      <alignment horizontal="left" wrapText="1"/>
    </xf>
    <xf numFmtId="0" fontId="81" fillId="0" borderId="10" xfId="0" applyFont="1" applyFill="1" applyBorder="1" applyAlignment="1">
      <alignment horizontal="left" wrapText="1"/>
    </xf>
    <xf numFmtId="0" fontId="81" fillId="0" borderId="10" xfId="0" applyFont="1" applyFill="1" applyBorder="1" applyAlignment="1">
      <alignment horizontal="left" vertical="center" wrapText="1"/>
    </xf>
    <xf numFmtId="0" fontId="82" fillId="0" borderId="10" xfId="0" applyFont="1" applyFill="1" applyBorder="1" applyAlignment="1">
      <alignment horizontal="left" wrapText="1"/>
    </xf>
    <xf numFmtId="0" fontId="66" fillId="0" borderId="10" xfId="0" applyFont="1" applyFill="1" applyBorder="1" applyAlignment="1">
      <alignment/>
    </xf>
    <xf numFmtId="177" fontId="66" fillId="0" borderId="0" xfId="0" applyNumberFormat="1" applyFont="1" applyFill="1" applyBorder="1" applyAlignment="1">
      <alignment/>
    </xf>
    <xf numFmtId="178" fontId="66" fillId="0" borderId="0" xfId="0" applyNumberFormat="1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84" fillId="0" borderId="0" xfId="0" applyFont="1" applyFill="1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7" fontId="73" fillId="0" borderId="10" xfId="0" applyNumberFormat="1" applyFont="1" applyFill="1" applyBorder="1" applyAlignment="1">
      <alignment horizontal="center" vertical="center" shrinkToFit="1"/>
    </xf>
    <xf numFmtId="0" fontId="75" fillId="0" borderId="14" xfId="0" applyFont="1" applyFill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right" shrinkToFit="1"/>
    </xf>
    <xf numFmtId="178" fontId="69" fillId="0" borderId="0" xfId="0" applyNumberFormat="1" applyFont="1" applyFill="1" applyBorder="1" applyAlignment="1">
      <alignment/>
    </xf>
    <xf numFmtId="0" fontId="75" fillId="0" borderId="15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left" vertical="center" wrapText="1"/>
    </xf>
    <xf numFmtId="0" fontId="86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wrapText="1"/>
    </xf>
    <xf numFmtId="0" fontId="50" fillId="0" borderId="10" xfId="0" applyFont="1" applyFill="1" applyBorder="1" applyAlignment="1">
      <alignment horizontal="left" vertical="center" wrapText="1"/>
    </xf>
    <xf numFmtId="0" fontId="75" fillId="0" borderId="9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75" fillId="0" borderId="10" xfId="0" applyFont="1" applyFill="1" applyBorder="1" applyAlignment="1">
      <alignment horizontal="left" wrapText="1"/>
    </xf>
    <xf numFmtId="0" fontId="78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left" wrapText="1"/>
    </xf>
    <xf numFmtId="0" fontId="87" fillId="0" borderId="1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left" vertical="center" wrapText="1"/>
    </xf>
    <xf numFmtId="0" fontId="88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89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90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89" fillId="0" borderId="10" xfId="0" applyFont="1" applyFill="1" applyBorder="1" applyAlignment="1">
      <alignment horizontal="left" vertical="center" wrapText="1"/>
    </xf>
    <xf numFmtId="0" fontId="78" fillId="0" borderId="10" xfId="0" applyFont="1" applyFill="1" applyBorder="1" applyAlignment="1">
      <alignment/>
    </xf>
    <xf numFmtId="0" fontId="91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9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77" fontId="68" fillId="0" borderId="0" xfId="0" applyNumberFormat="1" applyFont="1" applyFill="1" applyBorder="1" applyAlignment="1">
      <alignment/>
    </xf>
    <xf numFmtId="0" fontId="93" fillId="0" borderId="10" xfId="0" applyFont="1" applyFill="1" applyBorder="1" applyAlignment="1">
      <alignment horizontal="left" wrapText="1"/>
    </xf>
    <xf numFmtId="0" fontId="70" fillId="0" borderId="10" xfId="0" applyFont="1" applyFill="1" applyBorder="1" applyAlignment="1">
      <alignment horizontal="left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-1.&#20892;&#26449;&#23458;&#36816;&#27773;&#36710;&#36710;&#36742;&#25277;&#26597;&#36816;&#33829;&#23450;&#20215;&#25104;&#26412;&#26680;&#23450;&#34920;&#65288;2019&#24180;&#24230;&#33267;2021&#24180;&#24230;&#65289;(2022-11-7)&#24052;&#36816;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34920;1-4.&#20892;&#26449;&#23458;&#36816;&#27773;&#36710;&#36710;&#36742;&#25277;&#26597;&#36816;&#33829;&#23450;&#20215;&#25104;&#26412;&#26680;&#23450;&#34920;&#65288;2019&#24180;&#24230;&#33267;2021&#24180;&#24230;&#65289;(2023-4-3)%20&#19968;&#20961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34920;1-1.&#20892;&#26449;&#23458;&#36816;&#27773;&#36710;&#36710;&#36742;&#25277;&#26597;&#36816;&#33829;&#23450;&#20215;&#25104;&#26412;&#26680;&#23450;&#34920;&#65288;2019&#24180;&#24230;&#33267;2021&#24180;&#24230;&#65289;(2023-6-24)&#24052;&#3681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-1.&#20892;&#26449;&#23458;&#36816;&#27773;&#36710;&#36710;&#36742;&#25277;&#26597;&#36816;&#33829;&#23450;&#20215;&#25104;&#26412;&#26680;&#23450;&#34920;&#65288;2019&#24180;&#24230;&#33267;2021&#24180;&#24230;&#65289;(2022-11-7)%20-&#21033;&#27665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3-1.&#20892;&#26449;&#23458;&#36816;&#27773;&#36710;&#36710;&#36742;&#25277;&#26597;&#36816;&#33829;&#23450;&#20215;&#25104;&#26412;&#26680;&#23450;&#34920;&#65288;2019&#24180;&#24230;&#33267;2021&#24180;&#24230;&#65289;(2022-11-7)%20-%20&#19975;&#39034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-1.&#20892;&#26449;&#23458;&#36816;&#27773;&#36710;&#36710;&#36742;&#25277;&#26597;&#36816;&#33829;&#23450;&#20215;&#25104;&#26412;&#26680;&#23450;&#34920;&#65288;2019&#24180;&#24230;&#33267;2021&#24180;&#24230;&#65289;(2023-3-21)&#24052;&#36816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-2.&#20892;&#26449;&#23458;&#36816;&#27773;&#36710;&#36710;&#36742;&#25277;&#26597;&#36816;&#33829;&#23450;&#20215;&#25104;&#26412;&#26680;&#23450;&#34920;&#65288;2019&#24180;&#24230;&#33267;2021&#24180;&#24230;&#65289;(2023-2-21)%20-&#21033;&#27665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-4.&#20892;&#26449;&#23458;&#36816;&#27773;&#36710;&#36710;&#36742;&#25277;&#26597;&#36816;&#33829;&#23450;&#20215;&#25104;&#26412;&#26680;&#23450;&#34920;&#65288;2019&#24180;&#24230;&#33267;2021&#24180;&#24230;&#65289;(2023-4-3)%20&#19968;&#20961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34920;1-1.&#20892;&#26449;&#23458;&#36816;&#27773;&#36710;&#36710;&#36742;&#25277;&#26597;&#36816;&#33829;&#23450;&#20215;&#25104;&#26412;&#26680;&#23450;&#34920;&#65288;2019&#24180;&#24230;&#33267;2021&#24180;&#24230;&#65289;(2023-4-3)&#24052;&#36816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34920;1-2.&#20892;&#26449;&#23458;&#36816;&#27773;&#36710;&#36710;&#36742;&#25277;&#26597;&#36816;&#33829;&#23450;&#20215;&#25104;&#26412;&#26680;&#23450;&#34920;&#65288;2019&#24180;&#24230;&#33267;2021&#24180;&#24230;&#65289;(2023-4-3&#65289;&#21033;&#27665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34920;1-3.&#20892;&#26449;&#23458;&#36816;&#27773;&#36710;&#36710;&#36742;&#25277;&#26597;&#36816;&#33829;&#23450;&#20215;&#25104;&#26412;&#26680;&#23450;&#34920;&#65288;2019&#24180;&#24230;&#33267;2021&#24180;&#24230;&#65289;(2023-4-3)&#19975;&#3903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通江农村客运车辆成本信息核定表"/>
      <sheetName val="巴运（2021）"/>
      <sheetName val="巴运核定（2021）"/>
      <sheetName val="巴运 (2020)"/>
      <sheetName val="巴运 核定(2020)"/>
      <sheetName val="巴运 (2019)"/>
      <sheetName val="巴运核定 (2019)"/>
    </sheetNames>
    <sheetDataSet>
      <sheetData sheetId="1">
        <row r="20">
          <cell r="O20">
            <v>18529.4</v>
          </cell>
          <cell r="P20">
            <v>12342.84</v>
          </cell>
          <cell r="Q20">
            <v>54000</v>
          </cell>
          <cell r="R20">
            <v>8198.4</v>
          </cell>
          <cell r="S20">
            <v>11254.85</v>
          </cell>
          <cell r="T20">
            <v>80853.12</v>
          </cell>
          <cell r="U20">
            <v>360</v>
          </cell>
          <cell r="V20">
            <v>789.29</v>
          </cell>
          <cell r="W20">
            <v>2552</v>
          </cell>
          <cell r="X20">
            <v>3447.14</v>
          </cell>
          <cell r="Y20">
            <v>8600</v>
          </cell>
          <cell r="Z20">
            <v>960</v>
          </cell>
          <cell r="AA20">
            <v>40</v>
          </cell>
          <cell r="AC20">
            <v>9096</v>
          </cell>
          <cell r="AE20">
            <v>45.79</v>
          </cell>
          <cell r="AG20">
            <v>136</v>
          </cell>
          <cell r="AI20">
            <v>66240</v>
          </cell>
          <cell r="AJ20">
            <v>1780</v>
          </cell>
          <cell r="AK20">
            <v>7395.43</v>
          </cell>
          <cell r="AL20">
            <v>131784</v>
          </cell>
        </row>
      </sheetData>
      <sheetData sheetId="2">
        <row r="20">
          <cell r="P20">
            <v>12342.84</v>
          </cell>
          <cell r="Q20">
            <v>74520</v>
          </cell>
          <cell r="R20">
            <v>1490.4</v>
          </cell>
          <cell r="S20">
            <v>8942.4</v>
          </cell>
          <cell r="T20">
            <v>320</v>
          </cell>
          <cell r="U20">
            <v>11254.85</v>
          </cell>
          <cell r="V20">
            <v>53722.41</v>
          </cell>
          <cell r="W20">
            <v>360</v>
          </cell>
          <cell r="X20">
            <v>789.29</v>
          </cell>
          <cell r="Y20">
            <v>2552</v>
          </cell>
          <cell r="Z20">
            <v>3447.14</v>
          </cell>
          <cell r="AA20">
            <v>6142.14</v>
          </cell>
          <cell r="AB20">
            <v>960</v>
          </cell>
          <cell r="AC20">
            <v>40</v>
          </cell>
          <cell r="AE20">
            <v>9096</v>
          </cell>
          <cell r="AG20">
            <v>45.79</v>
          </cell>
          <cell r="AI20">
            <v>136</v>
          </cell>
          <cell r="AK20">
            <v>66240</v>
          </cell>
          <cell r="AN20">
            <v>131784</v>
          </cell>
        </row>
      </sheetData>
      <sheetData sheetId="3">
        <row r="19">
          <cell r="O19">
            <v>18678.45</v>
          </cell>
          <cell r="P19">
            <v>10230.77</v>
          </cell>
          <cell r="Q19">
            <v>45000</v>
          </cell>
          <cell r="R19">
            <v>6472.8</v>
          </cell>
          <cell r="S19">
            <v>11154.07</v>
          </cell>
          <cell r="T19">
            <v>54139.46</v>
          </cell>
          <cell r="U19">
            <v>360</v>
          </cell>
          <cell r="V19">
            <v>784.62</v>
          </cell>
          <cell r="W19">
            <v>2557.23</v>
          </cell>
          <cell r="X19">
            <v>3443.08</v>
          </cell>
          <cell r="Y19">
            <v>8607.69</v>
          </cell>
          <cell r="Z19">
            <v>960</v>
          </cell>
          <cell r="AA19">
            <v>40</v>
          </cell>
          <cell r="AC19">
            <v>7756</v>
          </cell>
          <cell r="AE19">
            <v>47.15</v>
          </cell>
          <cell r="AG19">
            <v>133.54</v>
          </cell>
          <cell r="AI19">
            <v>61836.92</v>
          </cell>
          <cell r="AJ19">
            <v>0</v>
          </cell>
          <cell r="AK19">
            <v>0</v>
          </cell>
          <cell r="AL19">
            <v>115521.54</v>
          </cell>
        </row>
      </sheetData>
      <sheetData sheetId="4">
        <row r="19">
          <cell r="P19">
            <v>10230.77</v>
          </cell>
          <cell r="Q19">
            <v>63503</v>
          </cell>
          <cell r="R19">
            <v>1270.06</v>
          </cell>
          <cell r="S19">
            <v>8313.6</v>
          </cell>
          <cell r="T19">
            <v>280</v>
          </cell>
          <cell r="U19">
            <v>11154.07</v>
          </cell>
          <cell r="V19">
            <v>60126.53</v>
          </cell>
          <cell r="W19">
            <v>360</v>
          </cell>
          <cell r="X19">
            <v>784.62</v>
          </cell>
          <cell r="Y19">
            <v>2557.23</v>
          </cell>
          <cell r="Z19">
            <v>3443.08</v>
          </cell>
          <cell r="AA19">
            <v>6191.54</v>
          </cell>
          <cell r="AB19">
            <v>960</v>
          </cell>
          <cell r="AC19">
            <v>40</v>
          </cell>
          <cell r="AE19">
            <v>9575.54</v>
          </cell>
          <cell r="AG19">
            <v>47.15</v>
          </cell>
          <cell r="AI19">
            <v>163.69</v>
          </cell>
          <cell r="AK19">
            <v>76668.31</v>
          </cell>
          <cell r="AN19">
            <v>144543.38</v>
          </cell>
        </row>
      </sheetData>
      <sheetData sheetId="5">
        <row r="13">
          <cell r="O13">
            <v>17551.61</v>
          </cell>
          <cell r="P13">
            <v>12171.43</v>
          </cell>
          <cell r="Q13">
            <v>54000</v>
          </cell>
          <cell r="R13">
            <v>5731.2</v>
          </cell>
          <cell r="S13">
            <v>10774.42</v>
          </cell>
          <cell r="T13">
            <v>48067.43</v>
          </cell>
          <cell r="U13">
            <v>360</v>
          </cell>
          <cell r="V13">
            <v>801.43</v>
          </cell>
          <cell r="W13">
            <v>2552</v>
          </cell>
          <cell r="X13">
            <v>3405.71</v>
          </cell>
          <cell r="Y13">
            <v>8557.14</v>
          </cell>
          <cell r="Z13">
            <v>960</v>
          </cell>
          <cell r="AA13">
            <v>40</v>
          </cell>
          <cell r="AC13">
            <v>6439.68</v>
          </cell>
          <cell r="AE13">
            <v>49.86</v>
          </cell>
          <cell r="AG13">
            <v>96</v>
          </cell>
          <cell r="AI13">
            <v>52320</v>
          </cell>
          <cell r="AJ13">
            <v>0</v>
          </cell>
          <cell r="AK13">
            <v>0</v>
          </cell>
          <cell r="AL13">
            <v>106679.04</v>
          </cell>
        </row>
      </sheetData>
      <sheetData sheetId="6">
        <row r="13">
          <cell r="P13">
            <v>12171.43</v>
          </cell>
          <cell r="Q13">
            <v>71640</v>
          </cell>
          <cell r="R13">
            <v>1432.8</v>
          </cell>
          <cell r="S13">
            <v>8596.8</v>
          </cell>
          <cell r="T13">
            <v>250</v>
          </cell>
          <cell r="U13">
            <v>10774.42</v>
          </cell>
          <cell r="V13">
            <v>63839.06</v>
          </cell>
          <cell r="W13">
            <v>360</v>
          </cell>
          <cell r="X13">
            <v>801.43</v>
          </cell>
          <cell r="Y13">
            <v>2552</v>
          </cell>
          <cell r="Z13">
            <v>3405.71</v>
          </cell>
          <cell r="AA13">
            <v>5817.86</v>
          </cell>
          <cell r="AB13">
            <v>960</v>
          </cell>
          <cell r="AC13">
            <v>40</v>
          </cell>
          <cell r="AE13">
            <v>9684.48</v>
          </cell>
          <cell r="AG13">
            <v>49.86</v>
          </cell>
          <cell r="AI13">
            <v>152</v>
          </cell>
          <cell r="AK13">
            <v>75552</v>
          </cell>
          <cell r="AN13">
            <v>146465.28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通江县一凡汽车运输客运车辆成本信息核定表"/>
      <sheetName val="一凡（2021）"/>
      <sheetName val="一凡待核定（2021）"/>
    </sheetNames>
    <sheetDataSet>
      <sheetData sheetId="1">
        <row r="13">
          <cell r="H13">
            <v>7</v>
          </cell>
          <cell r="K13">
            <v>7303.82</v>
          </cell>
        </row>
      </sheetData>
      <sheetData sheetId="2">
        <row r="13">
          <cell r="H13">
            <v>11.43</v>
          </cell>
          <cell r="K13">
            <v>4464.92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通江农村客运车辆成本信息核定表"/>
      <sheetName val="巴运（2021）"/>
      <sheetName val="巴运核定（2021）"/>
      <sheetName val="巴运 (2020)"/>
      <sheetName val="巴运 核定(2020)"/>
      <sheetName val="巴运 (2019)"/>
      <sheetName val="巴运核定 (2019)"/>
    </sheetNames>
    <sheetDataSet>
      <sheetData sheetId="2">
        <row r="20">
          <cell r="AL20">
            <v>1780</v>
          </cell>
          <cell r="AM20">
            <v>4255.82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通江农村客运车辆成本信息核定表"/>
      <sheetName val="利民（2021）"/>
      <sheetName val="利民待核定（2021）"/>
      <sheetName val="利民 (2020)"/>
      <sheetName val="利民待核定(2020)"/>
      <sheetName val="利民 (2019)"/>
      <sheetName val="利民待核定 (2019)"/>
    </sheetNames>
    <sheetDataSet>
      <sheetData sheetId="1">
        <row r="46">
          <cell r="R46">
            <v>7344</v>
          </cell>
          <cell r="S46">
            <v>54000</v>
          </cell>
          <cell r="T46">
            <v>8198.4</v>
          </cell>
          <cell r="U46">
            <v>15325.66</v>
          </cell>
          <cell r="V46">
            <v>63464.94</v>
          </cell>
          <cell r="W46">
            <v>360</v>
          </cell>
          <cell r="X46">
            <v>680</v>
          </cell>
          <cell r="Y46">
            <v>1484</v>
          </cell>
          <cell r="Z46">
            <v>3426</v>
          </cell>
          <cell r="AA46">
            <v>8625</v>
          </cell>
          <cell r="AB46">
            <v>960</v>
          </cell>
          <cell r="AC46">
            <v>40</v>
          </cell>
          <cell r="AD46">
            <v>4902</v>
          </cell>
          <cell r="AE46">
            <v>1200</v>
          </cell>
          <cell r="AG46">
            <v>6519.81</v>
          </cell>
          <cell r="AI46">
            <v>62.9</v>
          </cell>
          <cell r="AK46">
            <v>93.65</v>
          </cell>
          <cell r="AM46">
            <v>56191.2</v>
          </cell>
          <cell r="AN46">
            <v>1645</v>
          </cell>
          <cell r="AO46">
            <v>7200</v>
          </cell>
          <cell r="AP46">
            <v>139918.68</v>
          </cell>
        </row>
      </sheetData>
      <sheetData sheetId="2">
        <row r="46">
          <cell r="R46">
            <v>7344</v>
          </cell>
          <cell r="S46">
            <v>74520</v>
          </cell>
          <cell r="T46">
            <v>1490.4</v>
          </cell>
          <cell r="U46">
            <v>8942.4</v>
          </cell>
          <cell r="V46">
            <v>320</v>
          </cell>
          <cell r="W46">
            <v>15325.66</v>
          </cell>
          <cell r="X46">
            <v>51259.13</v>
          </cell>
          <cell r="Y46">
            <v>360</v>
          </cell>
          <cell r="Z46">
            <v>680</v>
          </cell>
          <cell r="AA46">
            <v>1484</v>
          </cell>
          <cell r="AB46">
            <v>3426</v>
          </cell>
          <cell r="AC46">
            <v>4688.4</v>
          </cell>
          <cell r="AD46">
            <v>960</v>
          </cell>
          <cell r="AE46">
            <v>40</v>
          </cell>
          <cell r="AF46">
            <v>4902</v>
          </cell>
          <cell r="AG46">
            <v>1200</v>
          </cell>
          <cell r="AI46">
            <v>7502.88</v>
          </cell>
          <cell r="AK46">
            <v>62.9</v>
          </cell>
          <cell r="AM46">
            <v>114.8</v>
          </cell>
          <cell r="AO46">
            <v>62076</v>
          </cell>
          <cell r="AP46">
            <v>1645</v>
          </cell>
          <cell r="AQ46">
            <v>7200</v>
          </cell>
          <cell r="AR46">
            <v>153254.64</v>
          </cell>
        </row>
      </sheetData>
      <sheetData sheetId="3">
        <row r="38">
          <cell r="R38">
            <v>7245</v>
          </cell>
          <cell r="S38">
            <v>50400</v>
          </cell>
          <cell r="T38">
            <v>6472.8</v>
          </cell>
          <cell r="U38">
            <v>10748.93</v>
          </cell>
          <cell r="V38">
            <v>40291.72</v>
          </cell>
          <cell r="W38">
            <v>360</v>
          </cell>
          <cell r="X38">
            <v>680</v>
          </cell>
          <cell r="Y38">
            <v>1484</v>
          </cell>
          <cell r="Z38">
            <v>3428.13</v>
          </cell>
          <cell r="AA38">
            <v>8656.25</v>
          </cell>
          <cell r="AB38">
            <v>960</v>
          </cell>
          <cell r="AC38">
            <v>40</v>
          </cell>
          <cell r="AD38">
            <v>4912.5</v>
          </cell>
          <cell r="AE38">
            <v>1200</v>
          </cell>
          <cell r="AG38">
            <v>5617.92</v>
          </cell>
          <cell r="AI38">
            <v>55.78</v>
          </cell>
          <cell r="AM38">
            <v>50204</v>
          </cell>
          <cell r="AN38">
            <v>925.31</v>
          </cell>
          <cell r="AO38">
            <v>4050</v>
          </cell>
          <cell r="AP38">
            <v>108902.64</v>
          </cell>
        </row>
      </sheetData>
      <sheetData sheetId="4">
        <row r="38">
          <cell r="R38">
            <v>7245</v>
          </cell>
          <cell r="S38">
            <v>63503</v>
          </cell>
          <cell r="T38">
            <v>1270.06</v>
          </cell>
          <cell r="U38">
            <v>8313.6</v>
          </cell>
          <cell r="V38">
            <v>280</v>
          </cell>
          <cell r="W38">
            <v>10748.93</v>
          </cell>
          <cell r="X38">
            <v>46088.06</v>
          </cell>
          <cell r="Y38">
            <v>360</v>
          </cell>
          <cell r="Z38">
            <v>680</v>
          </cell>
          <cell r="AA38">
            <v>1484</v>
          </cell>
          <cell r="AB38">
            <v>3428.13</v>
          </cell>
          <cell r="AC38">
            <v>4709.72</v>
          </cell>
          <cell r="AD38">
            <v>960</v>
          </cell>
          <cell r="AE38">
            <v>40</v>
          </cell>
          <cell r="AF38">
            <v>4912.5</v>
          </cell>
          <cell r="AG38">
            <v>1200</v>
          </cell>
          <cell r="AI38">
            <v>6902.28</v>
          </cell>
          <cell r="AK38">
            <v>55.78</v>
          </cell>
          <cell r="AM38">
            <v>134.75</v>
          </cell>
          <cell r="AO38">
            <v>60079.25</v>
          </cell>
          <cell r="AP38">
            <v>925.31</v>
          </cell>
          <cell r="AQ38">
            <v>5914.97</v>
          </cell>
          <cell r="AR38">
            <v>127927.8</v>
          </cell>
        </row>
      </sheetData>
      <sheetData sheetId="5">
        <row r="22">
          <cell r="R22">
            <v>7470</v>
          </cell>
          <cell r="S22">
            <v>54000</v>
          </cell>
          <cell r="T22">
            <v>5731.2</v>
          </cell>
          <cell r="U22">
            <v>10882.28</v>
          </cell>
          <cell r="V22">
            <v>47007.69</v>
          </cell>
          <cell r="W22">
            <v>360</v>
          </cell>
          <cell r="X22">
            <v>680</v>
          </cell>
          <cell r="Y22">
            <v>1484</v>
          </cell>
          <cell r="Z22">
            <v>3443.75</v>
          </cell>
          <cell r="AA22">
            <v>8737.5</v>
          </cell>
          <cell r="AB22">
            <v>960</v>
          </cell>
          <cell r="AC22">
            <v>40</v>
          </cell>
          <cell r="AD22">
            <v>4995</v>
          </cell>
          <cell r="AG22">
            <v>6147.54</v>
          </cell>
          <cell r="AI22">
            <v>61.56</v>
          </cell>
          <cell r="AK22">
            <v>91</v>
          </cell>
          <cell r="AM22">
            <v>55818</v>
          </cell>
          <cell r="AN22">
            <v>0</v>
          </cell>
          <cell r="AO22">
            <v>0</v>
          </cell>
          <cell r="AP22">
            <v>131347.44</v>
          </cell>
        </row>
      </sheetData>
      <sheetData sheetId="6">
        <row r="22">
          <cell r="R22">
            <v>7470</v>
          </cell>
          <cell r="S22">
            <v>71640</v>
          </cell>
          <cell r="T22">
            <v>1432.8</v>
          </cell>
          <cell r="U22">
            <v>8596.8</v>
          </cell>
          <cell r="V22">
            <v>250</v>
          </cell>
          <cell r="W22">
            <v>10882.28</v>
          </cell>
          <cell r="X22">
            <v>52897.19</v>
          </cell>
          <cell r="Y22">
            <v>360</v>
          </cell>
          <cell r="Z22">
            <v>680</v>
          </cell>
          <cell r="AA22">
            <v>1484</v>
          </cell>
          <cell r="AB22">
            <v>3443.75</v>
          </cell>
          <cell r="AC22">
            <v>4336</v>
          </cell>
          <cell r="AD22">
            <v>960</v>
          </cell>
          <cell r="AE22">
            <v>40</v>
          </cell>
          <cell r="AF22">
            <v>4995</v>
          </cell>
          <cell r="AG22">
            <v>1200</v>
          </cell>
          <cell r="AI22">
            <v>6832.98</v>
          </cell>
          <cell r="AK22">
            <v>61.56</v>
          </cell>
          <cell r="AM22">
            <v>101.5</v>
          </cell>
          <cell r="AO22">
            <v>60732</v>
          </cell>
          <cell r="AR22">
            <v>143406.9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四川万顺旅游客运有限公司成本信息核定表"/>
      <sheetName val="万顺（2021）"/>
      <sheetName val="万顺待核定（2021）"/>
      <sheetName val="万顺 (2020)"/>
      <sheetName val="万顺待核定 (2020)"/>
    </sheetNames>
    <sheetDataSet>
      <sheetData sheetId="1">
        <row r="15">
          <cell r="M15">
            <v>5573.33</v>
          </cell>
          <cell r="N15">
            <v>54000</v>
          </cell>
          <cell r="O15">
            <v>8198.4</v>
          </cell>
          <cell r="P15">
            <v>10740.75</v>
          </cell>
          <cell r="Q15">
            <v>55858.88</v>
          </cell>
          <cell r="R15">
            <v>360</v>
          </cell>
          <cell r="S15">
            <v>715.56</v>
          </cell>
          <cell r="T15">
            <v>1484</v>
          </cell>
          <cell r="U15">
            <v>2695.56</v>
          </cell>
          <cell r="V15">
            <v>7833.33</v>
          </cell>
          <cell r="W15">
            <v>960</v>
          </cell>
          <cell r="X15">
            <v>40</v>
          </cell>
          <cell r="Y15">
            <v>4320</v>
          </cell>
          <cell r="Z15">
            <v>1200</v>
          </cell>
          <cell r="AB15">
            <v>6799.15</v>
          </cell>
          <cell r="AD15">
            <v>59.11</v>
          </cell>
          <cell r="AF15">
            <v>93.33</v>
          </cell>
          <cell r="AH15">
            <v>51370.67</v>
          </cell>
          <cell r="AI15">
            <v>0</v>
          </cell>
          <cell r="AJ15">
            <v>0</v>
          </cell>
          <cell r="AK15">
            <v>134337.28</v>
          </cell>
        </row>
      </sheetData>
      <sheetData sheetId="2">
        <row r="15">
          <cell r="M15">
            <v>5573.33</v>
          </cell>
          <cell r="N15">
            <v>1490.4</v>
          </cell>
          <cell r="O15">
            <v>74520</v>
          </cell>
          <cell r="P15">
            <v>8942.4</v>
          </cell>
          <cell r="Q15">
            <v>320</v>
          </cell>
          <cell r="R15">
            <v>10740.75</v>
          </cell>
          <cell r="S15">
            <v>53580.8</v>
          </cell>
          <cell r="T15">
            <v>360</v>
          </cell>
          <cell r="U15">
            <v>715.56</v>
          </cell>
          <cell r="V15">
            <v>1484</v>
          </cell>
          <cell r="W15">
            <v>2695.56</v>
          </cell>
          <cell r="X15">
            <v>5515.83</v>
          </cell>
          <cell r="Y15">
            <v>960</v>
          </cell>
          <cell r="Z15">
            <v>40</v>
          </cell>
          <cell r="AA15">
            <v>4320</v>
          </cell>
          <cell r="AB15">
            <v>1200</v>
          </cell>
          <cell r="AD15">
            <v>11259.73</v>
          </cell>
          <cell r="AF15">
            <v>59.11</v>
          </cell>
          <cell r="AH15">
            <v>155.56</v>
          </cell>
          <cell r="AJ15">
            <v>67050.67</v>
          </cell>
          <cell r="AL15">
            <v>7588.67</v>
          </cell>
          <cell r="AM15">
            <v>167899.95</v>
          </cell>
        </row>
      </sheetData>
      <sheetData sheetId="3">
        <row r="14">
          <cell r="M14">
            <v>5520</v>
          </cell>
          <cell r="N14">
            <v>50400</v>
          </cell>
          <cell r="O14">
            <v>6472.8</v>
          </cell>
          <cell r="P14">
            <v>9952.25</v>
          </cell>
          <cell r="Q14">
            <v>68553.61</v>
          </cell>
          <cell r="R14">
            <v>360</v>
          </cell>
          <cell r="S14">
            <v>720</v>
          </cell>
          <cell r="T14">
            <v>1484</v>
          </cell>
          <cell r="U14">
            <v>2742.5</v>
          </cell>
          <cell r="V14">
            <v>7775</v>
          </cell>
          <cell r="W14">
            <v>960</v>
          </cell>
          <cell r="X14">
            <v>40</v>
          </cell>
          <cell r="Y14">
            <v>4320</v>
          </cell>
          <cell r="Z14">
            <v>1200</v>
          </cell>
          <cell r="AB14">
            <v>6468</v>
          </cell>
          <cell r="AD14">
            <v>52</v>
          </cell>
          <cell r="AF14">
            <v>112</v>
          </cell>
          <cell r="AH14">
            <v>64064</v>
          </cell>
          <cell r="AI14">
            <v>0</v>
          </cell>
          <cell r="AJ14">
            <v>0</v>
          </cell>
          <cell r="AK14">
            <v>151767</v>
          </cell>
        </row>
      </sheetData>
      <sheetData sheetId="4">
        <row r="14">
          <cell r="M14">
            <v>5520</v>
          </cell>
          <cell r="N14">
            <v>1270.06</v>
          </cell>
          <cell r="O14">
            <v>63503</v>
          </cell>
          <cell r="P14">
            <v>8313.6</v>
          </cell>
          <cell r="Q14">
            <v>280</v>
          </cell>
          <cell r="R14">
            <v>9952.25</v>
          </cell>
          <cell r="S14">
            <v>46419.11</v>
          </cell>
          <cell r="T14">
            <v>360</v>
          </cell>
          <cell r="U14">
            <v>720</v>
          </cell>
          <cell r="V14">
            <v>1484</v>
          </cell>
          <cell r="W14">
            <v>2742.5</v>
          </cell>
          <cell r="X14">
            <v>5261.56</v>
          </cell>
          <cell r="Y14">
            <v>960</v>
          </cell>
          <cell r="Z14">
            <v>40</v>
          </cell>
          <cell r="AA14">
            <v>4320</v>
          </cell>
          <cell r="AB14">
            <v>1200</v>
          </cell>
          <cell r="AD14">
            <v>9509.5</v>
          </cell>
          <cell r="AF14">
            <v>52</v>
          </cell>
          <cell r="AH14">
            <v>168</v>
          </cell>
          <cell r="AJ14">
            <v>60214</v>
          </cell>
          <cell r="AL14">
            <v>4457.63</v>
          </cell>
          <cell r="AM14">
            <v>129244.5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通江农村客运车辆成本信息核定表"/>
      <sheetName val="巴运（2021）"/>
      <sheetName val="巴运核定（2021）"/>
      <sheetName val="巴运 (2020)"/>
      <sheetName val="巴运 核定(2020)"/>
      <sheetName val="巴运 (2019)"/>
      <sheetName val="巴运核定 (2019)"/>
    </sheetNames>
    <sheetDataSet>
      <sheetData sheetId="0">
        <row r="14">
          <cell r="F14">
            <v>5745.62</v>
          </cell>
          <cell r="H14">
            <v>5705.14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通江农村客运车辆成本信息核定表"/>
      <sheetName val="利民（2021）"/>
      <sheetName val="利民待核定（2021）"/>
      <sheetName val="利民 (2020)"/>
      <sheetName val="利民待核定(2020)"/>
      <sheetName val="利民 (2019)"/>
      <sheetName val="利民待核定 (2019)"/>
    </sheetNames>
    <sheetDataSet>
      <sheetData sheetId="6">
        <row r="22">
          <cell r="AQ22">
            <v>7291.44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通江县一凡汽车运输客运车辆成本信息核定表"/>
      <sheetName val="一凡（2021）"/>
      <sheetName val="一凡待核定（2021）"/>
    </sheetNames>
    <sheetDataSet>
      <sheetData sheetId="1">
        <row r="13">
          <cell r="L13">
            <v>5485.71</v>
          </cell>
          <cell r="M13">
            <v>54000</v>
          </cell>
          <cell r="N13">
            <v>6472.8</v>
          </cell>
          <cell r="O13">
            <v>2393.57</v>
          </cell>
          <cell r="P13">
            <v>2988.88</v>
          </cell>
          <cell r="Q13">
            <v>3869.95</v>
          </cell>
          <cell r="R13">
            <v>50149.44</v>
          </cell>
          <cell r="S13">
            <v>360</v>
          </cell>
          <cell r="T13">
            <v>5000</v>
          </cell>
          <cell r="U13">
            <v>960</v>
          </cell>
          <cell r="V13">
            <v>378.57</v>
          </cell>
          <cell r="W13">
            <v>920</v>
          </cell>
          <cell r="X13">
            <v>680</v>
          </cell>
          <cell r="Y13">
            <v>25.71</v>
          </cell>
          <cell r="Z13">
            <v>4479.43</v>
          </cell>
          <cell r="AA13">
            <v>1200</v>
          </cell>
          <cell r="AC13">
            <v>7387.2</v>
          </cell>
          <cell r="AE13">
            <v>40.4285714285714</v>
          </cell>
          <cell r="AG13">
            <v>130</v>
          </cell>
          <cell r="AI13">
            <v>53088</v>
          </cell>
          <cell r="AJ13">
            <v>1634.66428571429</v>
          </cell>
          <cell r="AL13">
            <v>125294.4</v>
          </cell>
        </row>
      </sheetData>
      <sheetData sheetId="2">
        <row r="13">
          <cell r="L13">
            <v>5485.71</v>
          </cell>
          <cell r="M13">
            <v>74520</v>
          </cell>
          <cell r="N13">
            <v>1490.4</v>
          </cell>
          <cell r="O13">
            <v>320</v>
          </cell>
          <cell r="P13">
            <v>8942.4</v>
          </cell>
          <cell r="Q13">
            <v>2393.57</v>
          </cell>
          <cell r="R13">
            <v>2988.88</v>
          </cell>
          <cell r="S13">
            <v>3869.95</v>
          </cell>
          <cell r="T13">
            <v>47924.2</v>
          </cell>
          <cell r="U13">
            <v>360</v>
          </cell>
          <cell r="V13">
            <v>4070.71</v>
          </cell>
          <cell r="W13">
            <v>960</v>
          </cell>
          <cell r="X13">
            <v>378.57</v>
          </cell>
          <cell r="Y13">
            <v>920</v>
          </cell>
          <cell r="Z13">
            <v>680</v>
          </cell>
          <cell r="AA13">
            <v>25.71</v>
          </cell>
          <cell r="AB13">
            <v>4479.43</v>
          </cell>
          <cell r="AC13">
            <v>1200</v>
          </cell>
          <cell r="AE13">
            <v>9460.8</v>
          </cell>
          <cell r="AG13">
            <v>40.4285714285714</v>
          </cell>
          <cell r="AI13">
            <v>170</v>
          </cell>
          <cell r="AK13">
            <v>64416</v>
          </cell>
          <cell r="AL13">
            <v>1634.66428571429</v>
          </cell>
          <cell r="AM13">
            <v>4776.57142857143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通江农村客运车辆成本信息核定表"/>
      <sheetName val="巴运（2021）"/>
      <sheetName val="巴运核定（2021）"/>
      <sheetName val="巴运 (2020)"/>
      <sheetName val="巴运 核定(2020)"/>
      <sheetName val="巴运 (2019)"/>
      <sheetName val="巴运核定 (2019)"/>
    </sheetNames>
    <sheetDataSet>
      <sheetData sheetId="2">
        <row r="20">
          <cell r="L20">
            <v>13.57</v>
          </cell>
          <cell r="O20">
            <v>9624.46</v>
          </cell>
        </row>
      </sheetData>
      <sheetData sheetId="4">
        <row r="19">
          <cell r="L19">
            <v>13.46</v>
          </cell>
          <cell r="O19">
            <v>9769.2</v>
          </cell>
        </row>
      </sheetData>
      <sheetData sheetId="6">
        <row r="13">
          <cell r="L13">
            <v>13.57</v>
          </cell>
          <cell r="O13">
            <v>9218.93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通江农村客运车辆成本信息核定表"/>
      <sheetName val="利民（2021）"/>
      <sheetName val="利民核定（2021）"/>
      <sheetName val="利民 (2020)"/>
      <sheetName val="利民核定(2020)"/>
      <sheetName val="利民 (2019)"/>
      <sheetName val="利民核定 (2019)"/>
    </sheetNames>
    <sheetDataSet>
      <sheetData sheetId="1">
        <row r="46">
          <cell r="N46">
            <v>7</v>
          </cell>
          <cell r="Q46">
            <v>14372.21</v>
          </cell>
        </row>
      </sheetData>
      <sheetData sheetId="2">
        <row r="46">
          <cell r="N46">
            <v>12.63</v>
          </cell>
          <cell r="Q46">
            <v>7893.74</v>
          </cell>
        </row>
      </sheetData>
      <sheetData sheetId="3">
        <row r="38">
          <cell r="Q38">
            <v>14493.72</v>
          </cell>
        </row>
      </sheetData>
      <sheetData sheetId="4">
        <row r="38">
          <cell r="N38">
            <v>12.66</v>
          </cell>
          <cell r="Q38">
            <v>7877.03</v>
          </cell>
        </row>
      </sheetData>
      <sheetData sheetId="5">
        <row r="22">
          <cell r="Q22">
            <v>13058.31</v>
          </cell>
        </row>
      </sheetData>
      <sheetData sheetId="6">
        <row r="22">
          <cell r="N22">
            <v>13.13</v>
          </cell>
          <cell r="Q22">
            <v>6895.06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四川万顺旅游客运有限公司成本信息核定表"/>
      <sheetName val="万顺（2021）"/>
      <sheetName val="万顺待核定（2021）"/>
      <sheetName val="万顺 (2020)"/>
      <sheetName val="万顺待核定 (2020)"/>
    </sheetNames>
    <sheetDataSet>
      <sheetData sheetId="1">
        <row r="15">
          <cell r="I15">
            <v>7</v>
          </cell>
          <cell r="L15">
            <v>16639.55</v>
          </cell>
        </row>
      </sheetData>
      <sheetData sheetId="2">
        <row r="15">
          <cell r="I15">
            <v>12.22</v>
          </cell>
          <cell r="L15">
            <v>9178.19</v>
          </cell>
        </row>
      </sheetData>
      <sheetData sheetId="3">
        <row r="14">
          <cell r="L14">
            <v>15872.49</v>
          </cell>
        </row>
      </sheetData>
      <sheetData sheetId="4">
        <row r="14">
          <cell r="I14">
            <v>11.88</v>
          </cell>
          <cell r="L14">
            <v>8996.86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Zeros="0" view="pageBreakPreview" zoomScaleSheetLayoutView="100" workbookViewId="0" topLeftCell="A35">
      <selection activeCell="A46" sqref="A46"/>
    </sheetView>
  </sheetViews>
  <sheetFormatPr defaultColWidth="8.75390625" defaultRowHeight="14.25"/>
  <cols>
    <col min="1" max="1" width="33.75390625" style="2" customWidth="1"/>
    <col min="2" max="2" width="17.125" style="2" customWidth="1"/>
    <col min="3" max="8" width="11.375" style="2" customWidth="1"/>
    <col min="9" max="12" width="15.375" style="2" customWidth="1"/>
    <col min="13" max="13" width="33.25390625" style="2" customWidth="1"/>
    <col min="14" max="14" width="8.75390625" style="2" customWidth="1"/>
    <col min="15" max="15" width="13.75390625" style="2" bestFit="1" customWidth="1"/>
    <col min="16" max="16" width="12.625" style="2" bestFit="1" customWidth="1"/>
    <col min="17" max="16384" width="8.75390625" style="2" customWidth="1"/>
  </cols>
  <sheetData>
    <row r="1" spans="1:2" s="1" customFormat="1" ht="24" customHeight="1">
      <c r="A1" s="5" t="s">
        <v>0</v>
      </c>
      <c r="B1" s="6"/>
    </row>
    <row r="2" spans="1:13" s="75" customFormat="1" ht="33" customHeight="1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s="37" customFormat="1" ht="36" customHeight="1">
      <c r="A3" s="8" t="s">
        <v>2</v>
      </c>
      <c r="B3" s="8" t="s">
        <v>3</v>
      </c>
      <c r="C3" s="10" t="s">
        <v>4</v>
      </c>
      <c r="D3" s="11"/>
      <c r="E3" s="10" t="s">
        <v>5</v>
      </c>
      <c r="F3" s="11"/>
      <c r="G3" s="52" t="s">
        <v>6</v>
      </c>
      <c r="H3" s="52"/>
      <c r="I3" s="41" t="s">
        <v>7</v>
      </c>
      <c r="J3" s="41" t="s">
        <v>7</v>
      </c>
      <c r="K3" s="41" t="s">
        <v>7</v>
      </c>
      <c r="L3" s="41" t="s">
        <v>7</v>
      </c>
      <c r="M3" s="8" t="s">
        <v>8</v>
      </c>
    </row>
    <row r="4" spans="1:13" s="37" customFormat="1" ht="33" customHeight="1">
      <c r="A4" s="14"/>
      <c r="B4" s="14"/>
      <c r="C4" s="15" t="s">
        <v>9</v>
      </c>
      <c r="D4" s="15" t="s">
        <v>10</v>
      </c>
      <c r="E4" s="15" t="s">
        <v>9</v>
      </c>
      <c r="F4" s="15" t="s">
        <v>10</v>
      </c>
      <c r="G4" s="45" t="s">
        <v>9</v>
      </c>
      <c r="H4" s="45" t="s">
        <v>10</v>
      </c>
      <c r="I4" s="42" t="s">
        <v>11</v>
      </c>
      <c r="J4" s="42" t="s">
        <v>12</v>
      </c>
      <c r="K4" s="45" t="s">
        <v>13</v>
      </c>
      <c r="L4" s="42" t="s">
        <v>14</v>
      </c>
      <c r="M4" s="14"/>
    </row>
    <row r="5" spans="1:13" s="4" customFormat="1" ht="33" customHeight="1">
      <c r="A5" s="17" t="s">
        <v>15</v>
      </c>
      <c r="B5" s="17" t="s">
        <v>16</v>
      </c>
      <c r="C5" s="25">
        <f>ROUNDDOWN(('附表1-1  四川省巴中运输（集团）有限公司通江县分公司'!C5+'附表1-2   通江县利民汽车运输有限责任公司'!C5+'附表1-3   四川万顺旅游客运有限公司'!C5+'附表1-4   通江县一凡汽车运输有限公司'!C5)/4,0)</f>
        <v>99</v>
      </c>
      <c r="D5" s="25">
        <f>ROUNDDOWN(('附表1-1  四川省巴中运输（集团）有限公司通江县分公司'!D5+'附表1-2   通江县利民汽车运输有限责任公司'!D5+'附表1-3   四川万顺旅游客运有限公司'!D5+'附表1-4   通江县一凡汽车运输有限公司'!D5)/4,0)</f>
        <v>99</v>
      </c>
      <c r="E5" s="25">
        <f>ROUNDDOWN(('附表1-1  四川省巴中运输（集团）有限公司通江县分公司'!E5+'附表1-2   通江县利民汽车运输有限责任公司'!E5+'附表1-3   四川万顺旅游客运有限公司'!E5)/3,2)</f>
        <v>150</v>
      </c>
      <c r="F5" s="25">
        <f>ROUNDDOWN(('附表1-1  四川省巴中运输（集团）有限公司通江县分公司'!F5+'附表1-2   通江县利民汽车运输有限责任公司'!F5+'附表1-3   四川万顺旅游客运有限公司'!F5)/3,2)</f>
        <v>150</v>
      </c>
      <c r="G5" s="25">
        <f>ROUNDDOWN(('附表1-1  四川省巴中运输（集团）有限公司通江县分公司'!G5+'附表1-2   通江县利民汽车运输有限责任公司'!G5)/2,0)</f>
        <v>238</v>
      </c>
      <c r="H5" s="25">
        <f>ROUNDDOWN(('附表1-1  四川省巴中运输（集团）有限公司通江县分公司'!H5+'附表1-2   通江县利民汽车运输有限责任公司'!H5)/2,0)</f>
        <v>238</v>
      </c>
      <c r="I5" s="25">
        <f aca="true" t="shared" si="0" ref="I5:I22">D5-C5+F5-E5+H5-G5</f>
        <v>0</v>
      </c>
      <c r="J5" s="25">
        <f>ROUND(SUM(C5,E5,G5)/3,0)</f>
        <v>162</v>
      </c>
      <c r="K5" s="43">
        <f>ROUND(I5/4,2)</f>
        <v>0</v>
      </c>
      <c r="L5" s="25">
        <f>ROUND(SUM(D5,F5,H5)/3,0)</f>
        <v>162</v>
      </c>
      <c r="M5" s="47"/>
    </row>
    <row r="6" spans="1:13" s="2" customFormat="1" ht="33" customHeight="1">
      <c r="A6" s="21" t="s">
        <v>17</v>
      </c>
      <c r="B6" s="17" t="s">
        <v>18</v>
      </c>
      <c r="C6" s="19">
        <f>ROUNDDOWN(('附表1-1  四川省巴中运输（集团）有限公司通江县分公司'!C6+'附表1-2   通江县利民汽车运输有限责任公司'!C6+'附表1-3   四川万顺旅游客运有限公司'!C6+'附表1-4   通江县一凡汽车运输有限公司'!C6)/4,2)</f>
        <v>56722.46</v>
      </c>
      <c r="D6" s="19">
        <f>ROUNDDOWN(('附表1-1  四川省巴中运输（集团）有限公司通江县分公司'!D6+'附表1-2   通江县利民汽车运输有限责任公司'!D6+'附表1-3   四川万顺旅游客运有限公司'!D6+'附表1-4   通江县一凡汽车运输有限公司'!D6)/4,2)</f>
        <v>64945.66</v>
      </c>
      <c r="E6" s="19">
        <f>ROUNDDOWN(('附表1-1  四川省巴中运输（集团）有限公司通江县分公司'!E6+'附表1-2   通江县利民汽车运输有限责任公司'!E6+'附表1-3   四川万顺旅游客运有限公司'!E6)/3,2)</f>
        <v>58701.64</v>
      </c>
      <c r="F6" s="19">
        <f>ROUNDDOWN(('附表1-1  四川省巴中运输（集团）有限公司通江县分公司'!F6+'附表1-2   通江县利民汽车运输有限责任公司'!F6+'附表1-3   四川万顺旅游客运有限公司'!F6)/3,2)</f>
        <v>65653.85</v>
      </c>
      <c r="G6" s="19">
        <f>ROUNDDOWN(('附表1-1  四川省巴中运输（集团）有限公司通江县分公司'!G6+'附表1-2   通江县利民汽车运输有限责任公司'!G6)/2,2)</f>
        <v>54069</v>
      </c>
      <c r="H6" s="19">
        <f>ROUNDDOWN(('附表1-1  四川省巴中运输（集团）有限公司通江县分公司'!H6+'附表1-2   通江县利民汽车运输有限责任公司'!H6)/2,2)</f>
        <v>68142</v>
      </c>
      <c r="I6" s="19">
        <f t="shared" si="0"/>
        <v>29248.410000000018</v>
      </c>
      <c r="J6" s="19">
        <f aca="true" t="shared" si="1" ref="J6:J22">ROUND(SUM(C6,E6,G6)/3,2)</f>
        <v>56497.7</v>
      </c>
      <c r="K6" s="27">
        <f aca="true" t="shared" si="2" ref="K6:K22">ROUND(I6/3,2)</f>
        <v>9749.47</v>
      </c>
      <c r="L6" s="19">
        <f>ROUND(SUM(D6,F6,H6)/3,2)</f>
        <v>66247.17</v>
      </c>
      <c r="M6" s="80" t="s">
        <v>19</v>
      </c>
    </row>
    <row r="7" spans="1:13" s="2" customFormat="1" ht="33" customHeight="1">
      <c r="A7" s="23" t="s">
        <v>20</v>
      </c>
      <c r="B7" s="24" t="s">
        <v>21</v>
      </c>
      <c r="C7" s="25">
        <f>ROUNDDOWN(('附表1-1  四川省巴中运输（集团）有限公司通江县分公司'!C7+'附表1-2   通江县利民汽车运输有限责任公司'!C7+'附表1-3   四川万顺旅游客运有限公司'!C7+'附表1-4   通江县一凡汽车运输有限公司'!C7)/4,2)</f>
        <v>56722.46</v>
      </c>
      <c r="D7" s="25">
        <f>ROUNDDOWN(('附表1-1  四川省巴中运输（集团）有限公司通江县分公司'!D7+'附表1-2   通江县利民汽车运输有限责任公司'!D7+'附表1-3   四川万顺旅游客运有限公司'!D7+'附表1-4   通江县一凡汽车运输有限公司'!D7)/4,2)</f>
        <v>64945.66</v>
      </c>
      <c r="E7" s="25">
        <f>ROUNDDOWN(('附表1-1  四川省巴中运输（集团）有限公司通江县分公司'!E7+'附表1-2   通江县利民汽车运输有限责任公司'!E7+'附表1-3   四川万顺旅游客运有限公司'!E7)/3,2)</f>
        <v>58701.64</v>
      </c>
      <c r="F7" s="25">
        <f>ROUNDDOWN(('附表1-1  四川省巴中运输（集团）有限公司通江县分公司'!F7+'附表1-2   通江县利民汽车运输有限责任公司'!F7+'附表1-3   四川万顺旅游客运有限公司'!F7)/3,2)</f>
        <v>65653.85</v>
      </c>
      <c r="G7" s="25">
        <f>ROUNDDOWN(('附表1-1  四川省巴中运输（集团）有限公司通江县分公司'!G7+'附表1-2   通江县利民汽车运输有限责任公司'!G7)/2,2)</f>
        <v>54069</v>
      </c>
      <c r="H7" s="25">
        <f>ROUNDDOWN(('附表1-1  四川省巴中运输（集团）有限公司通江县分公司'!H7+'附表1-2   通江县利民汽车运输有限责任公司'!H7)/2,2)</f>
        <v>68142</v>
      </c>
      <c r="I7" s="25">
        <f t="shared" si="0"/>
        <v>29248.410000000018</v>
      </c>
      <c r="J7" s="25">
        <f t="shared" si="1"/>
        <v>56497.7</v>
      </c>
      <c r="K7" s="43">
        <f t="shared" si="2"/>
        <v>9749.47</v>
      </c>
      <c r="L7" s="25">
        <f>ROUND(SUM(D7,F7,H7)/3,2)</f>
        <v>66247.17</v>
      </c>
      <c r="M7" s="46"/>
    </row>
    <row r="8" spans="1:13" s="4" customFormat="1" ht="33" customHeight="1">
      <c r="A8" s="24" t="s">
        <v>22</v>
      </c>
      <c r="B8" s="24" t="s">
        <v>23</v>
      </c>
      <c r="C8" s="25">
        <f>ROUNDDOWN(('附表1-1  四川省巴中运输（集团）有限公司通江县分公司'!C8+'附表1-2   通江县利民汽车运输有限责任公司'!C8+'附表1-3   四川万顺旅游客运有限公司'!C8+'附表1-4   通江县一凡汽车运输有限公司'!C8)/4,2)</f>
        <v>0.55</v>
      </c>
      <c r="D8" s="25">
        <f>ROUNDDOWN(('附表1-1  四川省巴中运输（集团）有限公司通江县分公司'!D8+'附表1-2   通江县利民汽车运输有限责任公司'!D8+'附表1-3   四川万顺旅游客运有限公司'!D8+'附表1-4   通江县一凡汽车运输有限公司'!D8)/4,2)</f>
        <v>0.55</v>
      </c>
      <c r="E8" s="25">
        <f>ROUNDDOWN(('附表1-1  四川省巴中运输（集团）有限公司通江县分公司'!E8+'附表1-2   通江县利民汽车运输有限责任公司'!E8+'附表1-3   四川万顺旅游客运有限公司'!E8)/3,2)</f>
        <v>0.48</v>
      </c>
      <c r="F8" s="25">
        <f>ROUNDDOWN(('附表1-1  四川省巴中运输（集团）有限公司通江县分公司'!F8+'附表1-2   通江县利民汽车运输有限责任公司'!F8+'附表1-3   四川万顺旅游客运有限公司'!F8)/3,2)</f>
        <v>0.48</v>
      </c>
      <c r="G8" s="25">
        <f>ROUNDDOWN(('附表1-1  四川省巴中运输（集团）有限公司通江县分公司'!G8+'附表1-2   通江县利民汽车运输有限责任公司'!G8)/2,2)</f>
        <v>0.51</v>
      </c>
      <c r="H8" s="25">
        <f>ROUNDDOWN(('附表1-1  四川省巴中运输（集团）有限公司通江县分公司'!H8+'附表1-2   通江县利民汽车运输有限责任公司'!H8)/2,2)</f>
        <v>0.51</v>
      </c>
      <c r="I8" s="25">
        <f t="shared" si="0"/>
        <v>0</v>
      </c>
      <c r="J8" s="25">
        <f t="shared" si="1"/>
        <v>0.51</v>
      </c>
      <c r="K8" s="43">
        <f t="shared" si="2"/>
        <v>0</v>
      </c>
      <c r="L8" s="25">
        <f>ROUND(SUM(D8,F8,H8)/3,2)</f>
        <v>0.51</v>
      </c>
      <c r="M8" s="46"/>
    </row>
    <row r="9" spans="1:13" s="2" customFormat="1" ht="33" customHeight="1">
      <c r="A9" s="21" t="s">
        <v>24</v>
      </c>
      <c r="B9" s="17" t="s">
        <v>25</v>
      </c>
      <c r="C9" s="25">
        <f>ROUNDDOWN(('附表1-1  四川省巴中运输（集团）有限公司通江县分公司'!C9+'附表1-2   通江县利民汽车运输有限责任公司'!C9+'附表1-3   四川万顺旅游客运有限公司'!C9+'附表1-4   通江县一凡汽车运输有限公司'!C9)/4,2)</f>
        <v>113.24</v>
      </c>
      <c r="D9" s="25">
        <f>ROUNDDOWN(('附表1-1  四川省巴中运输（集团）有限公司通江县分公司'!D9+'附表1-2   通江县利民汽车运输有限责任公司'!D9+'附表1-3   四川万顺旅游客运有限公司'!D9+'附表1-4   通江县一凡汽车运输有限公司'!D9)/4,2)</f>
        <v>144.09</v>
      </c>
      <c r="E9" s="25">
        <f>ROUNDDOWN(('附表1-1  四川省巴中运输（集团）有限公司通江县分公司'!E9+'附表1-2   通江县利民汽车运输有限责任公司'!E9+'附表1-3   四川万顺旅游客运有限公司'!E9)/3,2)</f>
        <v>113.06</v>
      </c>
      <c r="F9" s="25">
        <f>ROUNDDOWN(('附表1-1  四川省巴中运输（集团）有限公司通江县分公司'!F9+'附表1-2   通江县利民汽车运输有限责任公司'!F9+'附表1-3   四川万顺旅游客运有限公司'!F9)/3,2)</f>
        <v>155.48</v>
      </c>
      <c r="G9" s="25">
        <f>ROUNDDOWN(('附表1-1  四川省巴中运输（集团）有限公司通江县分公司'!G9+'附表1-2   通江县利民汽车运输有限责任公司'!G9)/2,2)</f>
        <v>93.5</v>
      </c>
      <c r="H9" s="25">
        <f>ROUNDDOWN(('附表1-1  四川省巴中运输（集团）有限公司通江县分公司'!H9+'附表1-2   通江县利民汽车运输有限责任公司'!H9)/2,2)</f>
        <v>126.75</v>
      </c>
      <c r="I9" s="25">
        <f t="shared" si="0"/>
        <v>106.51999999999998</v>
      </c>
      <c r="J9" s="25">
        <f t="shared" si="1"/>
        <v>106.6</v>
      </c>
      <c r="K9" s="43">
        <f t="shared" si="2"/>
        <v>35.51</v>
      </c>
      <c r="L9" s="25">
        <f>ROUND(SUM(D9,F9,H9)/3,0)</f>
        <v>142</v>
      </c>
      <c r="M9" s="47"/>
    </row>
    <row r="10" spans="1:13" s="2" customFormat="1" ht="33" customHeight="1">
      <c r="A10" s="21" t="s">
        <v>26</v>
      </c>
      <c r="B10" s="17" t="s">
        <v>27</v>
      </c>
      <c r="C10" s="25">
        <f>ROUNDDOWN(('附表1-1  四川省巴中运输（集团）有限公司通江县分公司'!C10+'附表1-2   通江县利民汽车运输有限责任公司'!C10+'附表1-3   四川万顺旅游客运有限公司'!C10+'附表1-4   通江县一凡汽车运输有限公司'!C10)/4,2)</f>
        <v>42.62</v>
      </c>
      <c r="D10" s="25">
        <f>ROUNDDOWN(('附表1-1  四川省巴中运输（集团）有限公司通江县分公司'!D10+'附表1-2   通江县利民汽车运输有限责任公司'!D10+'附表1-3   四川万顺旅游客运有限公司'!D10+'附表1-4   通江县一凡汽车运输有限公司'!D10)/4,2)</f>
        <v>38.28</v>
      </c>
      <c r="E10" s="25">
        <f>ROUNDDOWN(('附表1-1  四川省巴中运输（集团）有限公司通江县分公司'!E10+'附表1-2   通江县利民汽车运输有限责任公司'!E10+'附表1-3   四川万顺旅游客运有限公司'!E10)/3,2)</f>
        <v>43.64</v>
      </c>
      <c r="F10" s="25">
        <f>ROUNDDOWN(('附表1-1  四川省巴中运输（集团）有限公司通江县分公司'!F10+'附表1-2   通江县利民汽车运输有限责任公司'!F10+'附表1-3   四川万顺旅游客运有限公司'!F10)/3,2)</f>
        <v>35.35</v>
      </c>
      <c r="G10" s="25">
        <f>ROUNDDOWN(('附表1-1  四川省巴中运输（集团）有限公司通江县分公司'!G10+'附表1-2   通江县利民汽车运输有限责任公司'!G10)/2,2)</f>
        <v>48.26</v>
      </c>
      <c r="H10" s="25">
        <f>ROUNDDOWN(('附表1-1  四川省巴中运输（集团）有限公司通江县分公司'!H10+'附表1-2   通江县利民汽车运输有限责任公司'!H10)/2,2)</f>
        <v>45.64</v>
      </c>
      <c r="I10" s="25">
        <f t="shared" si="0"/>
        <v>-15.249999999999993</v>
      </c>
      <c r="J10" s="25">
        <f t="shared" si="1"/>
        <v>44.84</v>
      </c>
      <c r="K10" s="43">
        <f t="shared" si="2"/>
        <v>-5.08</v>
      </c>
      <c r="L10" s="25">
        <f aca="true" t="shared" si="3" ref="L10:L22">ROUND(SUM(D10,F10,H10)/3,2)</f>
        <v>39.76</v>
      </c>
      <c r="M10" s="17" t="s">
        <v>28</v>
      </c>
    </row>
    <row r="11" spans="1:15" s="2" customFormat="1" ht="33" customHeight="1">
      <c r="A11" s="21" t="s">
        <v>29</v>
      </c>
      <c r="B11" s="17" t="s">
        <v>30</v>
      </c>
      <c r="C11" s="25">
        <f>ROUNDDOWN(('附表1-1  四川省巴中运输（集团）有限公司通江县分公司'!C11+'附表1-2   通江县利民汽车运输有限责任公司'!C11+'附表1-3   四川万顺旅游客运有限公司'!C11+'附表1-4   通江县一凡汽车运输有限公司'!C11)/4,2)</f>
        <v>0.55</v>
      </c>
      <c r="D11" s="25">
        <f>ROUNDDOWN(('附表1-1  四川省巴中运输（集团）有限公司通江县分公司'!D11+'附表1-2   通江县利民汽车运输有限责任公司'!D11+'附表1-3   四川万顺旅游客运有限公司'!D11+'附表1-4   通江县一凡汽车运输有限公司'!D11)/4,2)</f>
        <v>0.55</v>
      </c>
      <c r="E11" s="25">
        <f>ROUNDDOWN(('附表1-1  四川省巴中运输（集团）有限公司通江县分公司'!E11+'附表1-2   通江县利民汽车运输有限责任公司'!E11+'附表1-3   四川万顺旅游客运有限公司'!E11)/3,2)</f>
        <v>0.48</v>
      </c>
      <c r="F11" s="25">
        <f>ROUNDDOWN(('附表1-1  四川省巴中运输（集团）有限公司通江县分公司'!F11+'附表1-2   通江县利民汽车运输有限责任公司'!F11+'附表1-3   四川万顺旅游客运有限公司'!F11)/3,2)</f>
        <v>0.48</v>
      </c>
      <c r="G11" s="25">
        <f>ROUNDDOWN(('附表1-1  四川省巴中运输（集团）有限公司通江县分公司'!G11+'附表1-2   通江县利民汽车运输有限责任公司'!G11)/2,2)</f>
        <v>0.53</v>
      </c>
      <c r="H11" s="25">
        <f>ROUNDDOWN(('附表1-1  四川省巴中运输（集团）有限公司通江县分公司'!H11+'附表1-2   通江县利民汽车运输有限责任公司'!H11)/2,2)</f>
        <v>0.53</v>
      </c>
      <c r="I11" s="25">
        <f t="shared" si="0"/>
        <v>0</v>
      </c>
      <c r="J11" s="25">
        <f t="shared" si="1"/>
        <v>0.52</v>
      </c>
      <c r="K11" s="43">
        <f t="shared" si="2"/>
        <v>0</v>
      </c>
      <c r="L11" s="25">
        <f t="shared" si="3"/>
        <v>0.52</v>
      </c>
      <c r="M11" s="48"/>
      <c r="O11" s="34"/>
    </row>
    <row r="12" spans="1:13" s="2" customFormat="1" ht="33" customHeight="1">
      <c r="A12" s="21" t="s">
        <v>31</v>
      </c>
      <c r="B12" s="17" t="s">
        <v>32</v>
      </c>
      <c r="C12" s="19">
        <f>ROUNDDOWN(('附表1-1  四川省巴中运输（集团）有限公司通江县分公司'!C12+'附表1-2   通江县利民汽车运输有限责任公司'!C12+'附表1-3   四川万顺旅游客运有限公司'!C12+'附表1-4   通江县一凡汽车运输有限公司'!C12)/4,2)</f>
        <v>132833.59</v>
      </c>
      <c r="D12" s="19">
        <f>ROUNDDOWN(('附表1-1  四川省巴中运输（集团）有限公司通江县分公司'!D12+'附表1-2   通江县利民汽车运输有限责任公司'!D12+'附表1-3   四川万顺旅游客运有限公司'!D12+'附表1-4   通江县一凡汽车运输有限公司'!D12)/4,2)</f>
        <v>129338.64</v>
      </c>
      <c r="E12" s="19">
        <f>ROUNDDOWN(('附表1-1  四川省巴中运输（集团）有限公司通江县分公司'!E12+'附表1-2   通江县利民汽车运输有限责任公司'!E12+'附表1-3   四川万顺旅游客运有限公司'!E12)/3,2)</f>
        <v>125397.06</v>
      </c>
      <c r="F12" s="19">
        <f>ROUNDDOWN(('附表1-1  四川省巴中运输（集团）有限公司通江县分公司'!F12+'附表1-2   通江县利民汽车运输有限责任公司'!F12+'附表1-3   四川万顺旅游客运有限公司'!F12)/3,2)</f>
        <v>133905.22</v>
      </c>
      <c r="G12" s="19">
        <f>ROUNDDOWN(('附表1-1  四川省巴中运输（集团）有限公司通江县分公司'!G12+'附表1-2   通江县利民汽车运输有限责任公司'!G12)/2,2)</f>
        <v>119013.24</v>
      </c>
      <c r="H12" s="19">
        <f>ROUNDDOWN(('附表1-1  四川省巴中运输（集团）有限公司通江县分公司'!H12+'附表1-2   通江县利民汽车运输有限责任公司'!H12)/2,2)</f>
        <v>144936.09</v>
      </c>
      <c r="I12" s="19">
        <f t="shared" si="0"/>
        <v>30936.059999999983</v>
      </c>
      <c r="J12" s="19">
        <f t="shared" si="1"/>
        <v>125747.96</v>
      </c>
      <c r="K12" s="27">
        <f t="shared" si="2"/>
        <v>10312.02</v>
      </c>
      <c r="L12" s="19">
        <f t="shared" si="3"/>
        <v>136059.98</v>
      </c>
      <c r="M12" s="48"/>
    </row>
    <row r="13" spans="1:13" s="2" customFormat="1" ht="33" customHeight="1">
      <c r="A13" s="21" t="s">
        <v>33</v>
      </c>
      <c r="B13" s="17" t="s">
        <v>34</v>
      </c>
      <c r="C13" s="19">
        <f>ROUNDDOWN(('附表1-1  四川省巴中运输（集团）有限公司通江县分公司'!C13+'附表1-2   通江县利民汽车运输有限责任公司'!C13+'附表1-3   四川万顺旅游客运有限公司'!C13+'附表1-4   通江县一凡汽车运输有限公司'!C13)/4,2)</f>
        <v>4913.77</v>
      </c>
      <c r="D13" s="19">
        <f>ROUNDDOWN(('附表1-1  四川省巴中运输（集团）有限公司通江县分公司'!D13+'附表1-2   通江县利民汽车运输有限责任公司'!D13+'附表1-3   四川万顺旅游客运有限公司'!D13+'附表1-4   通江县一凡汽车运输有限公司'!D13)/4,2)</f>
        <v>7220.18</v>
      </c>
      <c r="E13" s="19">
        <f>ROUNDDOWN(('附表1-1  四川省巴中运输（集团）有限公司通江县分公司'!E13+'附表1-2   通江县利民汽车运输有限责任公司'!E13+'附表1-3   四川万顺旅游客运有限公司'!E13)/3,2)</f>
        <v>1658.43</v>
      </c>
      <c r="F13" s="19">
        <f>ROUNDDOWN(('附表1-1  四川省巴中运输（集团）有限公司通江县分公司'!F13+'附表1-2   通江县利民汽车运输有限责任公司'!F13+'附表1-3   四川万顺旅游客运有限公司'!F13)/3,2)</f>
        <v>5681.17</v>
      </c>
      <c r="G13" s="19">
        <f>ROUNDDOWN(('附表1-1  四川省巴中运输（集团）有限公司通江县分公司'!G13+'附表1-2   通江县利民汽车运输有限责任公司'!G13)/2,2)</f>
        <v>0</v>
      </c>
      <c r="H13" s="19">
        <f>ROUNDDOWN(('附表1-1  四川省巴中运输（集团）有限公司通江县分公司'!H13+'附表1-2   通江县利民汽车运输有限责任公司'!H13)/2,2)</f>
        <v>6498.29</v>
      </c>
      <c r="I13" s="19">
        <f t="shared" si="0"/>
        <v>12827.439999999999</v>
      </c>
      <c r="J13" s="19">
        <f t="shared" si="1"/>
        <v>2190.73</v>
      </c>
      <c r="K13" s="27">
        <f t="shared" si="2"/>
        <v>4275.81</v>
      </c>
      <c r="L13" s="19">
        <f t="shared" si="3"/>
        <v>6466.55</v>
      </c>
      <c r="M13" s="17" t="s">
        <v>35</v>
      </c>
    </row>
    <row r="14" spans="1:13" s="2" customFormat="1" ht="33" customHeight="1">
      <c r="A14" s="23" t="s">
        <v>36</v>
      </c>
      <c r="B14" s="24" t="s">
        <v>37</v>
      </c>
      <c r="C14" s="25">
        <f>ROUNDDOWN(('附表1-1  四川省巴中运输（集团）有限公司通江县分公司'!C14+'附表1-2   通江县利民汽车运输有限责任公司'!C14+'附表1-3   四川万顺旅游客运有限公司'!C14+'附表1-4   通江县一凡汽车运输有限公司'!C14)/4,2)</f>
        <v>3648.85</v>
      </c>
      <c r="D14" s="25">
        <f>ROUNDDOWN(('附表1-1  四川省巴中运输（集团）有限公司通江县分公司'!D14+'附表1-2   通江县利民汽车运输有限责任公司'!D14+'附表1-3   四川万顺旅游客运有限公司'!D14+'附表1-4   通江县一凡汽车运输有限公司'!D14)/4,2)</f>
        <v>5955.26</v>
      </c>
      <c r="E14" s="25">
        <f>ROUNDDOWN(('附表1-1  四川省巴中运输（集团）有限公司通江县分公司'!E14+'附表1-2   通江县利民汽车运输有限责任公司'!E14+'附表1-3   四川万顺旅游客运有限公司'!E14)/3,2)</f>
        <v>1350</v>
      </c>
      <c r="F14" s="25">
        <f>ROUNDDOWN(('附表1-1  四川省巴中运输（集团）有限公司通江县分公司'!F14+'附表1-2   通江县利民汽车运输有限责任公司'!F14+'附表1-3   四川万顺旅游客运有限公司'!F14)/3,2)</f>
        <v>5372.74</v>
      </c>
      <c r="G14" s="25">
        <f>ROUNDDOWN(('附表1-1  四川省巴中运输（集团）有限公司通江县分公司'!G14+'附表1-2   通江县利民汽车运输有限责任公司'!G14)/2,2)</f>
        <v>0</v>
      </c>
      <c r="H14" s="25">
        <f>ROUNDDOWN(('附表1-1  四川省巴中运输（集团）有限公司通江县分公司'!H14+'附表1-2   通江县利民汽车运输有限责任公司'!H14)/2,2)</f>
        <v>6498.29</v>
      </c>
      <c r="I14" s="25">
        <f t="shared" si="0"/>
        <v>12827.439999999999</v>
      </c>
      <c r="J14" s="25">
        <f t="shared" si="1"/>
        <v>1666.28</v>
      </c>
      <c r="K14" s="43">
        <f t="shared" si="2"/>
        <v>4275.81</v>
      </c>
      <c r="L14" s="25">
        <f t="shared" si="3"/>
        <v>5942.1</v>
      </c>
      <c r="M14" s="24" t="s">
        <v>38</v>
      </c>
    </row>
    <row r="15" spans="1:13" s="2" customFormat="1" ht="33" customHeight="1">
      <c r="A15" s="23" t="s">
        <v>39</v>
      </c>
      <c r="B15" s="24" t="s">
        <v>40</v>
      </c>
      <c r="C15" s="25">
        <f>ROUNDDOWN(('附表1-1  四川省巴中运输（集团）有限公司通江县分公司'!C15+'附表1-2   通江县利民汽车运输有限责任公司'!C15+'附表1-3   四川万顺旅游客运有限公司'!C15+'附表1-4   通江县一凡汽车运输有限公司'!C15)/4,2)</f>
        <v>1264.91</v>
      </c>
      <c r="D15" s="25">
        <f>ROUNDDOWN(('附表1-1  四川省巴中运输（集团）有限公司通江县分公司'!D15+'附表1-2   通江县利民汽车运输有限责任公司'!D15+'附表1-3   四川万顺旅游客运有限公司'!D15+'附表1-4   通江县一凡汽车运输有限公司'!D15)/4,2)</f>
        <v>1264.91</v>
      </c>
      <c r="E15" s="25">
        <f>ROUNDDOWN(('附表1-1  四川省巴中运输（集团）有限公司通江县分公司'!E15+'附表1-2   通江县利民汽车运输有限责任公司'!E15+'附表1-3   四川万顺旅游客运有限公司'!E15)/3,2)</f>
        <v>308.43</v>
      </c>
      <c r="F15" s="25">
        <f>ROUNDDOWN(('附表1-1  四川省巴中运输（集团）有限公司通江县分公司'!F15+'附表1-2   通江县利民汽车运输有限责任公司'!F15+'附表1-3   四川万顺旅游客运有限公司'!F15)/3,2)</f>
        <v>308.43</v>
      </c>
      <c r="G15" s="25">
        <f>ROUNDDOWN(('附表1-1  四川省巴中运输（集团）有限公司通江县分公司'!G15+'附表1-2   通江县利民汽车运输有限责任公司'!G15)/2,2)</f>
        <v>0</v>
      </c>
      <c r="H15" s="25">
        <f>ROUNDDOWN(('附表1-1  四川省巴中运输（集团）有限公司通江县分公司'!H15+'附表1-2   通江县利民汽车运输有限责任公司'!H15)/2,2)</f>
        <v>0</v>
      </c>
      <c r="I15" s="19">
        <f t="shared" si="0"/>
        <v>0</v>
      </c>
      <c r="J15" s="25">
        <f t="shared" si="1"/>
        <v>524.45</v>
      </c>
      <c r="K15" s="27">
        <f t="shared" si="2"/>
        <v>0</v>
      </c>
      <c r="L15" s="25">
        <f t="shared" si="3"/>
        <v>524.45</v>
      </c>
      <c r="M15" s="24" t="s">
        <v>38</v>
      </c>
    </row>
    <row r="16" spans="1:13" s="2" customFormat="1" ht="33" customHeight="1">
      <c r="A16" s="23" t="s">
        <v>41</v>
      </c>
      <c r="B16" s="24" t="s">
        <v>42</v>
      </c>
      <c r="C16" s="19">
        <f>ROUNDDOWN(('附表1-1  四川省巴中运输（集团）有限公司通江县分公司'!C16+'附表1-2   通江县利民汽车运输有限责任公司'!C16+'附表1-3   四川万顺旅游客运有限公司'!C16+'附表1-4   通江县一凡汽车运输有限公司'!C16)/4,2)</f>
        <v>0</v>
      </c>
      <c r="D16" s="25"/>
      <c r="E16" s="25">
        <f>ROUNDDOWN(('附表1-1  四川省巴中运输（集团）有限公司通江县分公司'!E16+'附表1-2   通江县利民汽车运输有限责任公司'!E16+'附表1-3   四川万顺旅游客运有限公司'!E16)/3,2)</f>
        <v>0</v>
      </c>
      <c r="F16" s="25"/>
      <c r="G16" s="25">
        <f>ROUNDDOWN(('附表1-1  四川省巴中运输（集团）有限公司通江县分公司'!G16+'附表1-2   通江县利民汽车运输有限责任公司'!G16)/2,2)</f>
        <v>0</v>
      </c>
      <c r="H16" s="25">
        <f>ROUNDDOWN(('附表1-1  四川省巴中运输（集团）有限公司通江县分公司'!H16+'附表1-2   通江县利民汽车运输有限责任公司'!H16)/2,2)</f>
        <v>0</v>
      </c>
      <c r="I16" s="19">
        <f t="shared" si="0"/>
        <v>0</v>
      </c>
      <c r="J16" s="25">
        <f t="shared" si="1"/>
        <v>0</v>
      </c>
      <c r="K16" s="27">
        <f t="shared" si="2"/>
        <v>0</v>
      </c>
      <c r="L16" s="25">
        <f t="shared" si="3"/>
        <v>0</v>
      </c>
      <c r="M16" s="49"/>
    </row>
    <row r="17" spans="1:13" s="2" customFormat="1" ht="33" customHeight="1">
      <c r="A17" s="21" t="s">
        <v>43</v>
      </c>
      <c r="B17" s="17" t="s">
        <v>44</v>
      </c>
      <c r="C17" s="19">
        <f>ROUNDDOWN(('附表1-1  四川省巴中运输（集团）有限公司通江县分公司'!C17+'附表1-2   通江县利民汽车运输有限责任公司'!C17+'附表1-3   四川万顺旅游客运有限公司'!C17+'附表1-4   通江县一凡汽车运输有限公司'!C17)/4,2)</f>
        <v>168212.65</v>
      </c>
      <c r="D17" s="19">
        <f>ROUNDDOWN(('附表1-1  四川省巴中运输（集团）有限公司通江县分公司'!D17+'附表1-2   通江县利民汽车运输有限责任公司'!D17+'附表1-3   四川万顺旅游客运有限公司'!D17+'附表1-4   通江县一凡汽车运输有限公司'!D17)/4,2)</f>
        <v>170436.86</v>
      </c>
      <c r="E17" s="19">
        <f>ROUNDDOWN(('附表1-1  四川省巴中运输（集团）有限公司通江县分公司'!E17+'附表1-2   通江县利民汽车运输有限责任公司'!E17+'附表1-3   四川万顺旅游客运有限公司'!E17)/3,2)</f>
        <v>155726.03</v>
      </c>
      <c r="F17" s="19">
        <f>ROUNDDOWN(('附表1-1  四川省巴中运输（集团）有限公司通江县分公司'!F17+'附表1-2   通江县利民汽车运输有限责任公司'!F17+'附表1-3   四川万顺旅游客运有限公司'!F17)/3,2)</f>
        <v>158873.57</v>
      </c>
      <c r="G17" s="19">
        <f>ROUNDDOWN(('附表1-1  四川省巴中运输（集团）有限公司通江县分公司'!G17+'附表1-2   通江县利民汽车运输有限责任公司'!G17)/2,2)</f>
        <v>152690.33</v>
      </c>
      <c r="H17" s="19">
        <f>ROUNDDOWN(('附表1-1  四川省巴中运输（集团）有限公司通江县分公司'!H17+'附表1-2   通江县利民汽车运输有限责任公司'!H17)/2,2)</f>
        <v>173583.14</v>
      </c>
      <c r="I17" s="19">
        <f t="shared" si="0"/>
        <v>26264.560000000027</v>
      </c>
      <c r="J17" s="19">
        <f t="shared" si="1"/>
        <v>158876.34</v>
      </c>
      <c r="K17" s="27">
        <f t="shared" si="2"/>
        <v>8754.85</v>
      </c>
      <c r="L17" s="19">
        <f t="shared" si="3"/>
        <v>167631.19</v>
      </c>
      <c r="M17" s="48"/>
    </row>
    <row r="18" spans="1:13" s="2" customFormat="1" ht="33" customHeight="1">
      <c r="A18" s="23" t="s">
        <v>45</v>
      </c>
      <c r="B18" s="24" t="s">
        <v>46</v>
      </c>
      <c r="C18" s="25">
        <f>ROUNDDOWN(('附表1-1  四川省巴中运输（集团）有限公司通江县分公司'!C18+'附表1-2   通江县利民汽车运输有限责任公司'!C18+'附表1-3   四川万顺旅游客运有限公司'!C18+'附表1-4   通江县一凡汽车运输有限公司'!C18)/4,2)</f>
        <v>61767</v>
      </c>
      <c r="D18" s="25">
        <f>ROUNDDOWN(('附表1-1  四川省巴中运输（集团）有限公司通江县分公司'!D18+'附表1-2   通江县利民汽车运输有限责任公司'!D18+'附表1-3   四川万顺旅游客运有限公司'!D18+'附表1-4   通江县一凡汽车运输有限公司'!D18)/4,2)</f>
        <v>83782.4</v>
      </c>
      <c r="E18" s="25">
        <f>ROUNDDOWN(('附表1-1  四川省巴中运输（集团）有限公司通江县分公司'!E18+'附表1-2   通江县利民汽车运输有限责任公司'!E18+'附表1-3   四川万顺旅游客运有限公司'!E18)/3,2)</f>
        <v>55072.8</v>
      </c>
      <c r="F18" s="25">
        <f>ROUNDDOWN(('附表1-1  四川省巴中运输（集团）有限公司通江县分公司'!F18+'附表1-2   通江县利民汽车运输有限责任公司'!F18+'附表1-3   四川万顺旅游客运有限公司'!F18)/3,2)</f>
        <v>72096.6</v>
      </c>
      <c r="G18" s="25">
        <f>ROUNDDOWN(('附表1-1  四川省巴中运输（集团）有限公司通江县分公司'!G18+'附表1-2   通江县利民汽车运输有限责任公司'!G18)/2,2)</f>
        <v>59731.2</v>
      </c>
      <c r="H18" s="25">
        <f>ROUNDDOWN(('附表1-1  四川省巴中运输（集团）有限公司通江县分公司'!H18+'附表1-2   通江县利民汽车运输有限责任公司'!H18)/2,2)</f>
        <v>80611.8</v>
      </c>
      <c r="I18" s="25">
        <f t="shared" si="0"/>
        <v>59919.8</v>
      </c>
      <c r="J18" s="25">
        <f t="shared" si="1"/>
        <v>58857</v>
      </c>
      <c r="K18" s="43">
        <f t="shared" si="2"/>
        <v>19973.27</v>
      </c>
      <c r="L18" s="25">
        <f t="shared" si="3"/>
        <v>78830.27</v>
      </c>
      <c r="M18" s="24" t="s">
        <v>47</v>
      </c>
    </row>
    <row r="19" spans="1:13" s="2" customFormat="1" ht="33" customHeight="1">
      <c r="A19" s="23" t="s">
        <v>48</v>
      </c>
      <c r="B19" s="24" t="s">
        <v>49</v>
      </c>
      <c r="C19" s="25">
        <f>ROUNDDOWN(('附表1-1  四川省巴中运输（集团）有限公司通江县分公司'!C19+'附表1-2   通江县利民汽车运输有限责任公司'!C19+'附表1-3   四川万顺旅游客运有限公司'!C19+'附表1-4   通江县一凡汽车运输有限公司'!C19)/4,2)</f>
        <v>54000</v>
      </c>
      <c r="D19" s="25">
        <f>ROUNDDOWN(('附表1-1  四川省巴中运输（集团）有限公司通江县分公司'!D19+'附表1-2   通江县利民汽车运输有限责任公司'!D19+'附表1-3   四川万顺旅游客运有限公司'!D19+'附表1-4   通江县一凡汽车运输有限公司'!D19)/4,2)</f>
        <v>74520</v>
      </c>
      <c r="E19" s="25">
        <f>ROUNDDOWN(('附表1-1  四川省巴中运输（集团）有限公司通江县分公司'!E19+'附表1-2   通江县利民汽车运输有限责任公司'!E19+'附表1-3   四川万顺旅游客运有限公司'!E19)/3,2)</f>
        <v>48600</v>
      </c>
      <c r="F19" s="25">
        <f>ROUNDDOWN(('附表1-1  四川省巴中运输（集团）有限公司通江县分公司'!F19+'附表1-2   通江县利民汽车运输有限责任公司'!F19+'附表1-3   四川万顺旅游客运有限公司'!F19)/3,2)</f>
        <v>63503</v>
      </c>
      <c r="G19" s="25">
        <f>ROUNDDOWN(('附表1-1  四川省巴中运输（集团）有限公司通江县分公司'!G19+'附表1-2   通江县利民汽车运输有限责任公司'!G19)/2,2)</f>
        <v>54000</v>
      </c>
      <c r="H19" s="25">
        <f>ROUNDDOWN(('附表1-1  四川省巴中运输（集团）有限公司通江县分公司'!H19+'附表1-2   通江县利民汽车运输有限责任公司'!H19)/2,2)</f>
        <v>71640</v>
      </c>
      <c r="I19" s="25">
        <f t="shared" si="0"/>
        <v>53063</v>
      </c>
      <c r="J19" s="25">
        <f t="shared" si="1"/>
        <v>52200</v>
      </c>
      <c r="K19" s="43">
        <f t="shared" si="2"/>
        <v>17687.67</v>
      </c>
      <c r="L19" s="25">
        <f t="shared" si="3"/>
        <v>69887.67</v>
      </c>
      <c r="M19" s="81" t="s">
        <v>50</v>
      </c>
    </row>
    <row r="20" spans="1:13" s="2" customFormat="1" ht="33" customHeight="1">
      <c r="A20" s="23" t="s">
        <v>51</v>
      </c>
      <c r="B20" s="24" t="s">
        <v>52</v>
      </c>
      <c r="C20" s="25">
        <f>ROUNDDOWN(('附表1-1  四川省巴中运输（集团）有限公司通江县分公司'!C20+'附表1-2   通江县利民汽车运输有限责任公司'!C20+'附表1-3   四川万顺旅游客运有限公司'!C20+'附表1-4   通江县一凡汽车运输有限公司'!C20)/4,2)</f>
        <v>7767</v>
      </c>
      <c r="D20" s="25">
        <f>ROUNDDOWN(('附表1-1  四川省巴中运输（集团）有限公司通江县分公司'!D20+'附表1-2   通江县利民汽车运输有限责任公司'!D20+'附表1-3   四川万顺旅游客运有限公司'!D20+'附表1-4   通江县一凡汽车运输有限公司'!D20)/4,2)</f>
        <v>9262.4</v>
      </c>
      <c r="E20" s="25">
        <f>ROUNDDOWN(('附表1-1  四川省巴中运输（集团）有限公司通江县分公司'!E20+'附表1-2   通江县利民汽车运输有限责任公司'!E20+'附表1-3   四川万顺旅游客运有限公司'!E20)/3,2)</f>
        <v>6472.8</v>
      </c>
      <c r="F20" s="25">
        <f>ROUNDDOWN(('附表1-1  四川省巴中运输（集团）有限公司通江县分公司'!F20+'附表1-2   通江县利民汽车运输有限责任公司'!F20+'附表1-3   四川万顺旅游客运有限公司'!F20)/3,2)</f>
        <v>8593.6</v>
      </c>
      <c r="G20" s="25">
        <f>ROUNDDOWN(('附表1-1  四川省巴中运输（集团）有限公司通江县分公司'!G20+'附表1-2   通江县利民汽车运输有限责任公司'!G20)/2,2)</f>
        <v>5731.2</v>
      </c>
      <c r="H20" s="25">
        <f>ROUNDDOWN(('附表1-1  四川省巴中运输（集团）有限公司通江县分公司'!H20+'附表1-2   通江县利民汽车运输有限责任公司'!H20)/2,2)</f>
        <v>8971.8</v>
      </c>
      <c r="I20" s="25">
        <f t="shared" si="0"/>
        <v>6856.8</v>
      </c>
      <c r="J20" s="25">
        <f t="shared" si="1"/>
        <v>6657</v>
      </c>
      <c r="K20" s="43">
        <f t="shared" si="2"/>
        <v>2285.6</v>
      </c>
      <c r="L20" s="25">
        <f t="shared" si="3"/>
        <v>8942.6</v>
      </c>
      <c r="M20" s="81" t="s">
        <v>53</v>
      </c>
    </row>
    <row r="21" spans="1:13" s="2" customFormat="1" ht="33" customHeight="1">
      <c r="A21" s="24" t="s">
        <v>54</v>
      </c>
      <c r="B21" s="24" t="s">
        <v>55</v>
      </c>
      <c r="C21" s="25">
        <f>ROUNDDOWN(('附表1-1  四川省巴中运输（集团）有限公司通江县分公司'!C21+'附表1-2   通江县利民汽车运输有限责任公司'!C21+'附表1-3   四川万顺旅游客运有限公司'!C21+'附表1-4   通江县一凡汽车运输有限公司'!C21)/4,2)</f>
        <v>14211.24</v>
      </c>
      <c r="D21" s="25">
        <f>ROUNDDOWN(('附表1-1  四川省巴中运输（集团）有限公司通江县分公司'!D21+'附表1-2   通江县利民汽车运输有限责任公司'!D21+'附表1-3   四川万顺旅游客运有限公司'!D21+'附表1-4   通江县一凡汽车运输有限公司'!D21)/4,2)</f>
        <v>7790.32</v>
      </c>
      <c r="E21" s="25">
        <f>ROUNDDOWN(('附表1-1  四川省巴中运输（集团）有限公司通江县分公司'!E21+'附表1-2   通江县利民汽车运输有限责任公司'!E21+'附表1-3   四川万顺旅游客运有限公司'!E21)/3,2)</f>
        <v>16348.22</v>
      </c>
      <c r="F21" s="25">
        <f>ROUNDDOWN(('附表1-1  四川省巴中运输（集团）有限公司通江县分公司'!F21+'附表1-2   通江县利民汽车运输有限责任公司'!F21+'附表1-3   四川万顺旅游客运有限公司'!F21)/3,2)</f>
        <v>8881.03</v>
      </c>
      <c r="G21" s="25">
        <f>ROUNDDOWN(('附表1-1  四川省巴中运输（集团）有限公司通江县分公司'!G21+'附表1-2   通江县利民汽车运输有限责任公司'!G21)/2,2)</f>
        <v>15304.96</v>
      </c>
      <c r="H21" s="25">
        <f>ROUNDDOWN(('附表1-1  四川省巴中运输（集团）有限公司通江县分公司'!H21+'附表1-2   通江县利民汽车运输有限责任公司'!H21)/2,2)</f>
        <v>8056.99</v>
      </c>
      <c r="I21" s="25">
        <f t="shared" si="0"/>
        <v>-21136.079999999998</v>
      </c>
      <c r="J21" s="25">
        <f t="shared" si="1"/>
        <v>15288.14</v>
      </c>
      <c r="K21" s="43">
        <f t="shared" si="2"/>
        <v>-7045.36</v>
      </c>
      <c r="L21" s="25">
        <f t="shared" si="3"/>
        <v>8242.78</v>
      </c>
      <c r="M21" s="24" t="s">
        <v>56</v>
      </c>
    </row>
    <row r="22" spans="1:13" s="2" customFormat="1" ht="33" customHeight="1">
      <c r="A22" s="24" t="s">
        <v>57</v>
      </c>
      <c r="B22" s="24" t="s">
        <v>58</v>
      </c>
      <c r="C22" s="25">
        <f>ROUNDDOWN(('附表1-1  四川省巴中运输（集团）有限公司通江县分公司'!C22+'附表1-2   通江县利民汽车运输有限责任公司'!C22+'附表1-3   四川万顺旅游客运有限公司'!C22+'附表1-4   通江县一凡汽车运输有限公司'!C22)/4,2)</f>
        <v>7</v>
      </c>
      <c r="D22" s="25">
        <f>ROUNDDOWN(('附表1-1  四川省巴中运输（集团）有限公司通江县分公司'!D22+'附表1-2   通江县利民汽车运输有限责任公司'!D22+'附表1-3   四川万顺旅游客运有限公司'!D22+'附表1-4   通江县一凡汽车运输有限公司'!D22)/4,2)</f>
        <v>12.46</v>
      </c>
      <c r="E22" s="25">
        <f>ROUNDDOWN(('附表1-1  四川省巴中运输（集团）有限公司通江县分公司'!E22+'附表1-2   通江县利民汽车运输有限责任公司'!E22+'附表1-3   四川万顺旅游客运有限公司'!E22)/3,2)</f>
        <v>7</v>
      </c>
      <c r="F22" s="25">
        <f>ROUNDDOWN(('附表1-1  四川省巴中运输（集团）有限公司通江县分公司'!F22+'附表1-2   通江县利民汽车运输有限责任公司'!F22+'附表1-3   四川万顺旅游客运有限公司'!F22)/3,2)</f>
        <v>12.66</v>
      </c>
      <c r="G22" s="25">
        <f>ROUNDDOWN(('附表1-1  四川省巴中运输（集团）有限公司通江县分公司'!G22+'附表1-2   通江县利民汽车运输有限责任公司'!G22)/2,2)</f>
        <v>7</v>
      </c>
      <c r="H22" s="25">
        <f>ROUNDDOWN(('附表1-1  四川省巴中运输（集团）有限公司通江县分公司'!H22+'附表1-2   通江县利民汽车运输有限责任公司'!H22)/2,2)</f>
        <v>13.35</v>
      </c>
      <c r="I22" s="25">
        <f t="shared" si="0"/>
        <v>17.47</v>
      </c>
      <c r="J22" s="25">
        <f t="shared" si="1"/>
        <v>7</v>
      </c>
      <c r="K22" s="43">
        <f t="shared" si="2"/>
        <v>5.82</v>
      </c>
      <c r="L22" s="25">
        <f t="shared" si="3"/>
        <v>12.82</v>
      </c>
      <c r="M22" s="24" t="s">
        <v>59</v>
      </c>
    </row>
    <row r="23" spans="1:13" s="2" customFormat="1" ht="33" customHeight="1">
      <c r="A23" s="23" t="s">
        <v>60</v>
      </c>
      <c r="B23" s="24" t="s">
        <v>61</v>
      </c>
      <c r="C23" s="25">
        <f>ROUNDDOWN(('附表1-1  四川省巴中运输（集团）有限公司通江县分公司'!C23+'附表1-2   通江县利民汽车运输有限责任公司'!C23+'附表1-3   四川万顺旅游客运有限公司'!C23+'附表1-4   通江县一凡汽车运输有限公司'!C23)/4,2)</f>
        <v>11643.41</v>
      </c>
      <c r="D23" s="25">
        <f>ROUNDDOWN(('附表1-1  四川省巴中运输（集团）有限公司通江县分公司'!D23+'附表1-2   通江县利民汽车运输有限责任公司'!D23+'附表1-3   四川万顺旅游客运有限公司'!D23+'附表1-4   通江县一凡汽车运输有限公司'!D23)/4,2)</f>
        <v>11643.41</v>
      </c>
      <c r="E23" s="25">
        <f>ROUNDDOWN(('附表1-1  四川省巴中运输（集团）有限公司通江县分公司'!E23+'附表1-2   通江县利民汽车运输有限责任公司'!E23+'附表1-3   四川万顺旅游客运有限公司'!E23)/3,2)</f>
        <v>10618.41</v>
      </c>
      <c r="F23" s="25">
        <f>ROUNDDOWN(('附表1-1  四川省巴中运输（集团）有限公司通江县分公司'!F23+'附表1-2   通江县利民汽车运输有限责任公司'!F23+'附表1-3   四川万顺旅游客运有限公司'!F23)/3,2)</f>
        <v>10618.41</v>
      </c>
      <c r="G23" s="25">
        <f>ROUNDDOWN(('附表1-1  四川省巴中运输（集团）有限公司通江县分公司'!G23+'附表1-2   通江县利民汽车运输有限责任公司'!G23)/2,2)</f>
        <v>10828.35</v>
      </c>
      <c r="H23" s="25">
        <f>ROUNDDOWN(('附表1-1  四川省巴中运输（集团）有限公司通江县分公司'!H23+'附表1-2   通江县利民汽车运输有限责任公司'!H23)/2,2)</f>
        <v>10828.35</v>
      </c>
      <c r="I23" s="25">
        <f aca="true" t="shared" si="4" ref="I23:I45">D23-C23+F23-E23+H23-G23</f>
        <v>0</v>
      </c>
      <c r="J23" s="25">
        <f aca="true" t="shared" si="5" ref="J23:J45">ROUND(SUM(C23,E23,G23)/3,2)</f>
        <v>11030.06</v>
      </c>
      <c r="K23" s="43">
        <f aca="true" t="shared" si="6" ref="K23:K44">ROUND(I23/3,2)</f>
        <v>0</v>
      </c>
      <c r="L23" s="25">
        <f aca="true" t="shared" si="7" ref="L23:L45">ROUND(SUM(D23,F23,H23)/3,2)</f>
        <v>11030.06</v>
      </c>
      <c r="M23" s="24" t="s">
        <v>38</v>
      </c>
    </row>
    <row r="24" spans="1:13" s="2" customFormat="1" ht="37.5" customHeight="1">
      <c r="A24" s="23" t="s">
        <v>62</v>
      </c>
      <c r="B24" s="24" t="s">
        <v>63</v>
      </c>
      <c r="C24" s="25">
        <f>ROUNDDOWN(('附表1-1  四川省巴中运输（集团）有限公司通江县分公司'!C24+'附表1-2   通江县利民汽车运输有限责任公司'!C24+'附表1-3   四川万顺旅游客运有限公司'!C24+'附表1-4   通江县一凡汽车运输有限公司'!C24)/4,2)</f>
        <v>62581.59</v>
      </c>
      <c r="D24" s="25">
        <f>ROUNDDOWN(('附表1-1  四川省巴中运输（集团）有限公司通江县分公司'!D24+'附表1-2   通江县利民汽车运输有限责任公司'!D24+'附表1-3   四川万顺旅游客运有限公司'!D24+'附表1-4   通江县一凡汽车运输有限公司'!D24)/4,2)</f>
        <v>51621.63</v>
      </c>
      <c r="E24" s="25">
        <f>ROUNDDOWN(('附表1-1  四川省巴中运输（集团）有限公司通江县分公司'!E24+'附表1-2   通江县利民汽车运输有限责任公司'!E24+'附表1-3   四川万顺旅游客运有限公司'!E24)/3,2)</f>
        <v>54328.26</v>
      </c>
      <c r="F24" s="25">
        <f>ROUNDDOWN(('附表1-1  四川省巴中运输（集团）有限公司通江县分公司'!F24+'附表1-2   通江县利民汽车运输有限责任公司'!F24+'附表1-3   四川万顺旅游客运有限公司'!F24)/3,2)</f>
        <v>50877.9</v>
      </c>
      <c r="G24" s="25">
        <f>ROUNDDOWN(('附表1-1  四川省巴中运输（集团）有限公司通江县分公司'!G24+'附表1-2   通江县利民汽车运输有限责任公司'!G24)/2,2)</f>
        <v>47537.56</v>
      </c>
      <c r="H24" s="25">
        <f>ROUNDDOWN(('附表1-1  四川省巴中运输（集团）有限公司通江县分公司'!H24+'附表1-2   通江县利民汽车运输有限责任公司'!H24)/2,2)</f>
        <v>58368.12</v>
      </c>
      <c r="I24" s="25">
        <f t="shared" si="4"/>
        <v>-3579.7599999999948</v>
      </c>
      <c r="J24" s="25">
        <f t="shared" si="5"/>
        <v>54815.8</v>
      </c>
      <c r="K24" s="43">
        <f t="shared" si="6"/>
        <v>-1193.25</v>
      </c>
      <c r="L24" s="25">
        <f t="shared" si="7"/>
        <v>53622.55</v>
      </c>
      <c r="M24" s="81" t="s">
        <v>64</v>
      </c>
    </row>
    <row r="25" spans="1:13" s="2" customFormat="1" ht="37.5" customHeight="1">
      <c r="A25" s="23" t="s">
        <v>65</v>
      </c>
      <c r="B25" s="24" t="s">
        <v>66</v>
      </c>
      <c r="C25" s="25">
        <f>ROUNDDOWN(('附表1-1  四川省巴中运输（集团）有限公司通江县分公司'!C25+'附表1-2   通江县利民汽车运输有限责任公司'!C25+'附表1-3   四川万顺旅游客运有限公司'!C25+'附表1-4   通江县一凡汽车运输有限公司'!C25)/4,2)</f>
        <v>9906.75</v>
      </c>
      <c r="D25" s="25">
        <f>ROUNDDOWN(('附表1-1  四川省巴中运输（集团）有限公司通江县分公司'!D25+'附表1-2   通江县利民汽车运输有限责任公司'!D25+'附表1-3   四川万顺旅游客运有限公司'!D25+'附表1-4   通江县一凡汽车运输有限公司'!D25)/4,2)</f>
        <v>7496.44</v>
      </c>
      <c r="E25" s="25">
        <f>ROUNDDOWN(('附表1-1  四川省巴中运输（集团）有限公司通江县分公司'!E25+'附表1-2   通江县利民汽车运输有限责任公司'!E25+'附表1-3   四川万顺旅游客运有限公司'!E25)/3,2)</f>
        <v>11550.88</v>
      </c>
      <c r="F25" s="25">
        <f>ROUNDDOWN(('附表1-1  四川省巴中运输（集团）有限公司通江县分公司'!F25+'附表1-2   通江县利民汽车运输有限责任公司'!F25+'附表1-3   四川万顺旅游客运有限公司'!F25)/3,2)</f>
        <v>8592.17</v>
      </c>
      <c r="G25" s="25">
        <f>ROUNDDOWN(('附表1-1  四川省巴中运输（集团）有限公司通江县分公司'!G25+'附表1-2   通江县利民汽车运输有限责任公司'!G25)/2,2)</f>
        <v>12072.05</v>
      </c>
      <c r="H25" s="25">
        <f>ROUNDDOWN(('附表1-1  四川省巴中运输（集团）有限公司通江县分公司'!H25+'附表1-2   通江县利民汽车运输有限责任公司'!H25)/2,2)</f>
        <v>8501.66</v>
      </c>
      <c r="I25" s="25">
        <f t="shared" si="4"/>
        <v>-8939.41</v>
      </c>
      <c r="J25" s="25">
        <f t="shared" si="5"/>
        <v>11176.56</v>
      </c>
      <c r="K25" s="43">
        <f t="shared" si="6"/>
        <v>-2979.8</v>
      </c>
      <c r="L25" s="25">
        <f t="shared" si="7"/>
        <v>8196.76</v>
      </c>
      <c r="M25" s="81" t="s">
        <v>67</v>
      </c>
    </row>
    <row r="26" spans="1:13" s="2" customFormat="1" ht="33" customHeight="1">
      <c r="A26" s="23" t="s">
        <v>68</v>
      </c>
      <c r="B26" s="24" t="s">
        <v>69</v>
      </c>
      <c r="C26" s="25">
        <f>ROUNDDOWN(('附表1-1  四川省巴中运输（集团）有限公司通江县分公司'!C26+'附表1-2   通江县利民汽车运输有限责任公司'!C26+'附表1-3   四川万顺旅游客运有限公司'!C26+'附表1-4   通江县一凡汽车运输有限公司'!C26)/4,2)</f>
        <v>7202.64</v>
      </c>
      <c r="D26" s="25">
        <f>ROUNDDOWN(('附表1-1  四川省巴中运输（集团）有限公司通江县分公司'!D26+'附表1-2   通江县利民汽车运输有限责任公司'!D26+'附表1-3   四川万顺旅游客运有限公司'!D26+'附表1-4   通江县一凡汽车运输有限公司'!D26)/4,2)</f>
        <v>7202.64</v>
      </c>
      <c r="E26" s="25">
        <f>ROUNDDOWN(('附表1-1  四川省巴中运输（集团）有限公司通江县分公司'!E26+'附表1-2   通江县利民汽车运输有限责任公司'!E26+'附表1-3   四川万顺旅游客运有限公司'!E26)/3,2)</f>
        <v>7007.45</v>
      </c>
      <c r="F26" s="25">
        <f>ROUNDDOWN(('附表1-1  四川省巴中运输（集团）有限公司通江县分公司'!F26+'附表1-2   通江县利民汽车运输有限责任公司'!F26+'附表1-3   四川万顺旅游客运有限公司'!F26)/3,2)</f>
        <v>7007.45</v>
      </c>
      <c r="G26" s="25">
        <f>ROUNDDOWN(('附表1-1  四川省巴中运输（集团）有限公司通江县分公司'!G26+'附表1-2   通江县利民汽车运输有限责任公司'!G26)/2,2)</f>
        <v>6616.21</v>
      </c>
      <c r="H26" s="25">
        <f>ROUNDDOWN(('附表1-1  四川省巴中运输（集团）有限公司通江县分公司'!H26+'附表1-2   通江县利民汽车运输有限责任公司'!H26)/2,2)</f>
        <v>6616.21</v>
      </c>
      <c r="I26" s="19">
        <f t="shared" si="4"/>
        <v>0</v>
      </c>
      <c r="J26" s="25">
        <f t="shared" si="5"/>
        <v>6942.1</v>
      </c>
      <c r="K26" s="27">
        <f t="shared" si="6"/>
        <v>0</v>
      </c>
      <c r="L26" s="25">
        <f t="shared" si="7"/>
        <v>6942.1</v>
      </c>
      <c r="M26" s="24" t="s">
        <v>38</v>
      </c>
    </row>
    <row r="27" spans="1:13" s="2" customFormat="1" ht="33" customHeight="1">
      <c r="A27" s="23" t="s">
        <v>70</v>
      </c>
      <c r="B27" s="24" t="s">
        <v>71</v>
      </c>
      <c r="C27" s="25">
        <f>ROUNDDOWN(('附表1-1  四川省巴中运输（集团）有限公司通江县分公司'!C27+'附表1-2   通江县利民汽车运输有限责任公司'!C27+'附表1-3   四川万顺旅游客运有限公司'!C27+'附表1-4   通江县一凡汽车运输有限公司'!C27)/4,2)</f>
        <v>0</v>
      </c>
      <c r="D27" s="25">
        <f>ROUNDDOWN(('附表1-1  四川省巴中运输（集团）有限公司通江县分公司'!D27+'附表1-2   通江县利民汽车运输有限责任公司'!D27+'附表1-3   四川万顺旅游客运有限公司'!D27+'附表1-4   通江县一凡汽车运输有限公司'!D27)/4,2)</f>
        <v>0</v>
      </c>
      <c r="E27" s="25">
        <f>ROUNDDOWN(('附表1-1  四川省巴中运输（集团）有限公司通江县分公司'!E27+'附表1-2   通江县利民汽车运输有限责任公司'!E27+'附表1-3   四川万顺旅游客运有限公司'!E27)/3,2)</f>
        <v>0</v>
      </c>
      <c r="F27" s="25">
        <f>ROUNDDOWN(('附表1-1  四川省巴中运输（集团）有限公司通江县分公司'!F27+'附表1-2   通江县利民汽车运输有限责任公司'!F27+'附表1-3   四川万顺旅游客运有限公司'!F27)/3,2)</f>
        <v>0</v>
      </c>
      <c r="G27" s="25">
        <f>ROUNDDOWN(('附表1-1  四川省巴中运输（集团）有限公司通江县分公司'!G27+'附表1-2   通江县利民汽车运输有限责任公司'!G27)/2,2)</f>
        <v>0</v>
      </c>
      <c r="H27" s="25">
        <f>ROUNDDOWN(('附表1-1  四川省巴中运输（集团）有限公司通江县分公司'!H27+'附表1-2   通江县利民汽车运输有限责任公司'!H27)/2,2)</f>
        <v>0</v>
      </c>
      <c r="I27" s="19">
        <f t="shared" si="4"/>
        <v>0</v>
      </c>
      <c r="J27" s="25">
        <f t="shared" si="5"/>
        <v>0</v>
      </c>
      <c r="K27" s="27">
        <f t="shared" si="6"/>
        <v>0</v>
      </c>
      <c r="L27" s="25">
        <f t="shared" si="7"/>
        <v>0</v>
      </c>
      <c r="M27" s="50"/>
    </row>
    <row r="28" spans="1:13" s="2" customFormat="1" ht="33" customHeight="1">
      <c r="A28" s="23" t="s">
        <v>72</v>
      </c>
      <c r="B28" s="24" t="s">
        <v>73</v>
      </c>
      <c r="C28" s="25">
        <f>ROUNDDOWN(('附表1-1  四川省巴中运输（集团）有限公司通江县分公司'!C28+'附表1-2   通江县利民汽车运输有限责任公司'!C28+'附表1-3   四川万顺旅游客运有限公司'!C28+'附表1-4   通江县一凡汽车运输有限公司'!C28)/4,2)</f>
        <v>0</v>
      </c>
      <c r="D28" s="25">
        <f>ROUNDDOWN(('附表1-1  四川省巴中运输（集团）有限公司通江县分公司'!D28+'附表1-2   通江县利民汽车运输有限责任公司'!D28+'附表1-3   四川万顺旅游客运有限公司'!D28+'附表1-4   通江县一凡汽车运输有限公司'!D28)/4,2)</f>
        <v>0</v>
      </c>
      <c r="E28" s="25">
        <f>ROUNDDOWN(('附表1-1  四川省巴中运输（集团）有限公司通江县分公司'!E28+'附表1-2   通江县利民汽车运输有限责任公司'!E28+'附表1-3   四川万顺旅游客运有限公司'!E28)/3,2)</f>
        <v>0</v>
      </c>
      <c r="F28" s="25">
        <f>ROUNDDOWN(('附表1-1  四川省巴中运输（集团）有限公司通江县分公司'!F28+'附表1-2   通江县利民汽车运输有限责任公司'!F28+'附表1-3   四川万顺旅游客运有限公司'!F28)/3,2)</f>
        <v>0</v>
      </c>
      <c r="G28" s="25">
        <f>ROUNDDOWN(('附表1-1  四川省巴中运输（集团）有限公司通江县分公司'!G28+'附表1-2   通江县利民汽车运输有限责任公司'!G28)/2,2)</f>
        <v>0</v>
      </c>
      <c r="H28" s="25">
        <f>ROUNDDOWN(('附表1-1  四川省巴中运输（集团）有限公司通江县分公司'!H28+'附表1-2   通江县利民汽车运输有限责任公司'!H28)/2,2)</f>
        <v>0</v>
      </c>
      <c r="I28" s="19">
        <f t="shared" si="4"/>
        <v>0</v>
      </c>
      <c r="J28" s="25">
        <f t="shared" si="5"/>
        <v>0</v>
      </c>
      <c r="K28" s="27">
        <f t="shared" si="6"/>
        <v>0</v>
      </c>
      <c r="L28" s="25">
        <f t="shared" si="7"/>
        <v>0</v>
      </c>
      <c r="M28" s="50"/>
    </row>
    <row r="29" spans="1:13" s="2" customFormat="1" ht="33" customHeight="1">
      <c r="A29" s="23" t="s">
        <v>74</v>
      </c>
      <c r="B29" s="24" t="s">
        <v>75</v>
      </c>
      <c r="C29" s="25">
        <f>ROUNDDOWN(('附表1-1  四川省巴中运输（集团）有限公司通江县分公司'!C29+'附表1-2   通江县利民汽车运输有限责任公司'!C29+'附表1-3   四川万顺旅游客运有限公司'!C29+'附表1-4   通江县一凡汽车运输有限公司'!C29)/4,2)</f>
        <v>360</v>
      </c>
      <c r="D29" s="25">
        <f>ROUNDDOWN(('附表1-1  四川省巴中运输（集团）有限公司通江县分公司'!D29+'附表1-2   通江县利民汽车运输有限责任公司'!D29+'附表1-3   四川万顺旅游客运有限公司'!D29+'附表1-4   通江县一凡汽车运输有限公司'!D29)/4,2)</f>
        <v>360</v>
      </c>
      <c r="E29" s="25">
        <f>ROUNDDOWN(('附表1-1  四川省巴中运输（集团）有限公司通江县分公司'!E29+'附表1-2   通江县利民汽车运输有限责任公司'!E29+'附表1-3   四川万顺旅游客运有限公司'!E29)/3,2)</f>
        <v>360</v>
      </c>
      <c r="F29" s="25">
        <f>ROUNDDOWN(('附表1-1  四川省巴中运输（集团）有限公司通江县分公司'!F29+'附表1-2   通江县利民汽车运输有限责任公司'!F29+'附表1-3   四川万顺旅游客运有限公司'!F29)/3,2)</f>
        <v>360</v>
      </c>
      <c r="G29" s="25">
        <f>ROUNDDOWN(('附表1-1  四川省巴中运输（集团）有限公司通江县分公司'!G29+'附表1-2   通江县利民汽车运输有限责任公司'!G29)/2,2)</f>
        <v>360</v>
      </c>
      <c r="H29" s="25">
        <f>ROUNDDOWN(('附表1-1  四川省巴中运输（集团）有限公司通江县分公司'!H29+'附表1-2   通江县利民汽车运输有限责任公司'!H29)/2,2)</f>
        <v>360</v>
      </c>
      <c r="I29" s="19">
        <f t="shared" si="4"/>
        <v>0</v>
      </c>
      <c r="J29" s="25">
        <f t="shared" si="5"/>
        <v>360</v>
      </c>
      <c r="K29" s="27">
        <f t="shared" si="6"/>
        <v>0</v>
      </c>
      <c r="L29" s="25">
        <f t="shared" si="7"/>
        <v>360</v>
      </c>
      <c r="M29" s="50"/>
    </row>
    <row r="30" spans="1:13" s="2" customFormat="1" ht="33" customHeight="1">
      <c r="A30" s="23" t="s">
        <v>76</v>
      </c>
      <c r="B30" s="24" t="s">
        <v>77</v>
      </c>
      <c r="C30" s="25">
        <f>ROUNDDOWN(('附表1-1  四川省巴中运输（集团）有限公司通江县分公司'!C30+'附表1-2   通江县利民汽车运输有限责任公司'!C30+'附表1-3   四川万顺旅游客运有限公司'!C30+'附表1-4   通江县一凡汽车运输有限公司'!C30)/4,2)</f>
        <v>1054.64</v>
      </c>
      <c r="D30" s="25">
        <f>ROUNDDOWN(('附表1-1  四川省巴中运输（集团）有限公司通江县分公司'!D30+'附表1-2   通江县利民汽车运输有限责任公司'!D30+'附表1-3   四川万顺旅游客运有限公司'!D30+'附表1-4   通江县一凡汽车运输有限公司'!D30)/4,2)</f>
        <v>1054.64</v>
      </c>
      <c r="E30" s="25">
        <f>ROUNDDOWN(('附表1-1  四川省巴中运输（集团）有限公司通江县分公司'!E30+'附表1-2   通江县利民汽车运输有限责任公司'!E30+'附表1-3   四川万顺旅游客运有限公司'!E30)/3,2)</f>
        <v>960</v>
      </c>
      <c r="F30" s="25">
        <f>ROUNDDOWN(('附表1-1  四川省巴中运输（集团）有限公司通江县分公司'!F30+'附表1-2   通江县利民汽车运输有限责任公司'!F30+'附表1-3   四川万顺旅游客运有限公司'!F30)/3,2)</f>
        <v>960</v>
      </c>
      <c r="G30" s="25">
        <f>ROUNDDOWN(('附表1-1  四川省巴中运输（集团）有限公司通江县分公司'!G30+'附表1-2   通江县利民汽车运输有限责任公司'!G30)/2,2)</f>
        <v>960</v>
      </c>
      <c r="H30" s="25">
        <f>ROUNDDOWN(('附表1-1  四川省巴中运输（集团）有限公司通江县分公司'!H30+'附表1-2   通江县利民汽车运输有限责任公司'!H30)/2,2)</f>
        <v>960</v>
      </c>
      <c r="I30" s="19">
        <f t="shared" si="4"/>
        <v>0</v>
      </c>
      <c r="J30" s="25">
        <f t="shared" si="5"/>
        <v>991.55</v>
      </c>
      <c r="K30" s="27">
        <f t="shared" si="6"/>
        <v>0</v>
      </c>
      <c r="L30" s="25">
        <f t="shared" si="7"/>
        <v>991.55</v>
      </c>
      <c r="M30" s="50"/>
    </row>
    <row r="31" spans="1:13" s="2" customFormat="1" ht="33" customHeight="1">
      <c r="A31" s="23" t="s">
        <v>78</v>
      </c>
      <c r="B31" s="24" t="s">
        <v>79</v>
      </c>
      <c r="C31" s="25">
        <f>ROUNDDOWN(('附表1-1  四川省巴中运输（集团）有限公司通江县分公司'!C31+'附表1-2   通江县利民汽车运输有限责任公司'!C31+'附表1-3   四川万顺旅游客运有限公司'!C31+'附表1-4   通江县一凡汽车运输有限公司'!C31)/4,2)</f>
        <v>5787.99</v>
      </c>
      <c r="D31" s="25">
        <f>ROUNDDOWN(('附表1-1  四川省巴中运输（集团）有限公司通江县分公司'!D31+'附表1-2   通江县利民汽车运输有限责任公司'!D31+'附表1-3   四川万顺旅游客运有限公司'!D31+'附表1-4   通江县一凡汽车运输有限公司'!D31)/4,2)</f>
        <v>5787.99</v>
      </c>
      <c r="E31" s="25">
        <f>ROUNDDOWN(('附表1-1  四川省巴中运输（集团）有限公司通江县分公司'!E31+'附表1-2   通江县利民汽车运输有限责任公司'!E31+'附表1-3   四川万顺旅游客运有限公司'!E31)/3,2)</f>
        <v>5687.45</v>
      </c>
      <c r="F31" s="25">
        <f>ROUNDDOWN(('附表1-1  四川省巴中运输（集团）有限公司通江县分公司'!F31+'附表1-2   通江县利民汽车运输有限责任公司'!F31+'附表1-3   四川万顺旅游客运有限公司'!F31)/3,2)</f>
        <v>5687.45</v>
      </c>
      <c r="G31" s="25">
        <f>ROUNDDOWN(('附表1-1  四川省巴中运输（集团）有限公司通江县分公司'!G31+'附表1-2   通江县利民汽车运输有限责任公司'!G31)/2,2)</f>
        <v>5296.21</v>
      </c>
      <c r="H31" s="25">
        <f>ROUNDDOWN(('附表1-1  四川省巴中运输（集团）有限公司通江县分公司'!H31+'附表1-2   通江县利民汽车运输有限责任公司'!H31)/2,2)</f>
        <v>5296.21</v>
      </c>
      <c r="I31" s="19">
        <f t="shared" si="4"/>
        <v>0</v>
      </c>
      <c r="J31" s="25">
        <f t="shared" si="5"/>
        <v>5590.55</v>
      </c>
      <c r="K31" s="27">
        <f t="shared" si="6"/>
        <v>0</v>
      </c>
      <c r="L31" s="25">
        <f t="shared" si="7"/>
        <v>5590.55</v>
      </c>
      <c r="M31" s="50"/>
    </row>
    <row r="32" spans="1:13" s="2" customFormat="1" ht="33" customHeight="1">
      <c r="A32" s="23" t="s">
        <v>80</v>
      </c>
      <c r="B32" s="24" t="s">
        <v>81</v>
      </c>
      <c r="C32" s="25">
        <f>ROUNDDOWN(('附表1-1  四川省巴中运输（集团）有限公司通江县分公司'!C32+'附表1-2   通江县利民汽车运输有限责任公司'!C32+'附表1-3   四川万顺旅游客运有限公司'!C32+'附表1-4   通江县一凡汽车运输有限公司'!C32)/4,2)</f>
        <v>900</v>
      </c>
      <c r="D32" s="25">
        <f>ROUNDDOWN(('附表1-1  四川省巴中运输（集团）有限公司通江县分公司'!D32+'附表1-2   通江县利民汽车运输有限责任公司'!D32+'附表1-3   四川万顺旅游客运有限公司'!D32+'附表1-4   通江县一凡汽车运输有限公司'!D32)/4,2)</f>
        <v>900</v>
      </c>
      <c r="E32" s="25">
        <f>ROUNDDOWN(('附表1-1  四川省巴中运输（集团）有限公司通江县分公司'!E32+'附表1-2   通江县利民汽车运输有限责任公司'!E32+'附表1-3   四川万顺旅游客运有限公司'!E32)/3,2)</f>
        <v>800</v>
      </c>
      <c r="F32" s="25">
        <f>ROUNDDOWN(('附表1-1  四川省巴中运输（集团）有限公司通江县分公司'!F32+'附表1-2   通江县利民汽车运输有限责任公司'!F32+'附表1-3   四川万顺旅游客运有限公司'!F32)/3,2)</f>
        <v>800</v>
      </c>
      <c r="G32" s="25">
        <f>ROUNDDOWN(('附表1-1  四川省巴中运输（集团）有限公司通江县分公司'!G32+'附表1-2   通江县利民汽车运输有限责任公司'!G32)/2,2)</f>
        <v>600</v>
      </c>
      <c r="H32" s="25">
        <f>ROUNDDOWN(('附表1-1  四川省巴中运输（集团）有限公司通江县分公司'!H32+'附表1-2   通江县利民汽车运输有限责任公司'!H32)/2,2)</f>
        <v>600</v>
      </c>
      <c r="I32" s="19">
        <f t="shared" si="4"/>
        <v>0</v>
      </c>
      <c r="J32" s="25">
        <f t="shared" si="5"/>
        <v>766.67</v>
      </c>
      <c r="K32" s="27">
        <f t="shared" si="6"/>
        <v>0</v>
      </c>
      <c r="L32" s="25">
        <f t="shared" si="7"/>
        <v>766.67</v>
      </c>
      <c r="M32" s="50"/>
    </row>
    <row r="33" spans="1:13" s="2" customFormat="1" ht="33" customHeight="1">
      <c r="A33" s="21" t="s">
        <v>82</v>
      </c>
      <c r="B33" s="17" t="s">
        <v>83</v>
      </c>
      <c r="C33" s="19">
        <f>ROUNDDOWN(('附表1-1  四川省巴中运输（集团）有限公司通江县分公司'!C33+'附表1-2   通江县利民汽车运输有限责任公司'!C33+'附表1-3   四川万顺旅游客运有限公司'!C33+'附表1-4   通江县一凡汽车运输有限公司'!C33)/4,2)</f>
        <v>7686.47</v>
      </c>
      <c r="D33" s="19">
        <f>ROUNDDOWN(('附表1-1  四川省巴中运输（集团）有限公司通江县分公司'!D33+'附表1-2   通江县利民汽车运输有限责任公司'!D33+'附表1-3   四川万顺旅游客运有限公司'!D33+'附表1-4   通江县一凡汽车运输有限公司'!D33)/4,2)</f>
        <v>9176.87</v>
      </c>
      <c r="E33" s="19">
        <f>ROUNDDOWN(('附表1-1  四川省巴中运输（集团）有限公司通江县分公司'!E33+'附表1-2   通江县利民汽车运输有限责任公司'!E33+'附表1-3   四川万顺旅游客运有限公司'!E33)/3,2)</f>
        <v>7665.25</v>
      </c>
      <c r="F33" s="19">
        <f>ROUNDDOWN(('附表1-1  四川省巴中运输（集团）有限公司通江县分公司'!F33+'附表1-2   通江县利民汽车运输有限责任公司'!F33+'附表1-3   四川万顺旅游客运有限公司'!F33)/3,2)</f>
        <v>8935.31</v>
      </c>
      <c r="G33" s="19">
        <f>ROUNDDOWN(('附表1-1  四川省巴中运输（集团）有限公司通江县分公司'!G33+'附表1-2   通江县利民汽车运输有限责任公司'!G33)/2,2)</f>
        <v>9820.71</v>
      </c>
      <c r="H33" s="19">
        <f>ROUNDDOWN(('附表1-1  四川省巴中运输（集团）有限公司通江县分公司'!H33+'附表1-2   通江县利民汽车运输有限责任公司'!H33)/2,2)</f>
        <v>11253.51</v>
      </c>
      <c r="I33" s="19">
        <f t="shared" si="4"/>
        <v>4193.26</v>
      </c>
      <c r="J33" s="19">
        <f t="shared" si="5"/>
        <v>8390.81</v>
      </c>
      <c r="K33" s="27">
        <f t="shared" si="6"/>
        <v>1397.75</v>
      </c>
      <c r="L33" s="19">
        <f t="shared" si="7"/>
        <v>9788.56</v>
      </c>
      <c r="M33" s="17" t="s">
        <v>38</v>
      </c>
    </row>
    <row r="34" spans="1:13" s="2" customFormat="1" ht="33" customHeight="1">
      <c r="A34" s="23" t="s">
        <v>84</v>
      </c>
      <c r="B34" s="24" t="s">
        <v>85</v>
      </c>
      <c r="C34" s="19">
        <f>ROUNDDOWN(('附表1-1  四川省巴中运输（集团）有限公司通江县分公司'!C34+'附表1-2   通江县利民汽车运输有限责任公司'!C34+'附表1-3   四川万顺旅游客运有限公司'!C34+'附表1-4   通江县一凡汽车运输有限公司'!C34)/4,2)</f>
        <v>0</v>
      </c>
      <c r="D34" s="25">
        <f>ROUNDDOWN(('附表1-1  四川省巴中运输（集团）有限公司通江县分公司'!D34+'附表1-2   通江县利民汽车运输有限责任公司'!D34+'附表1-3   四川万顺旅游客运有限公司'!D34+'附表1-4   通江县一凡汽车运输有限公司'!D34)/4,2)</f>
        <v>0</v>
      </c>
      <c r="E34" s="25">
        <f>ROUNDDOWN(('附表1-1  四川省巴中运输（集团）有限公司通江县分公司'!E34+'附表1-2   通江县利民汽车运输有限责任公司'!E34+'附表1-3   四川万顺旅游客运有限公司'!E34)/3,2)</f>
        <v>0</v>
      </c>
      <c r="F34" s="25">
        <f>ROUNDDOWN(('附表1-1  四川省巴中运输（集团）有限公司通江县分公司'!F34+'附表1-2   通江县利民汽车运输有限责任公司'!F34+'附表1-3   四川万顺旅游客运有限公司'!F34)/3,2)</f>
        <v>0</v>
      </c>
      <c r="G34" s="25">
        <f>ROUNDDOWN(('附表1-1  四川省巴中运输（集团）有限公司通江县分公司'!G34+'附表1-2   通江县利民汽车运输有限责任公司'!G34)/2,2)</f>
        <v>0</v>
      </c>
      <c r="H34" s="25">
        <f>ROUNDDOWN(('附表1-1  四川省巴中运输（集团）有限公司通江县分公司'!H34+'附表1-2   通江县利民汽车运输有限责任公司'!H34)/2,2)</f>
        <v>0</v>
      </c>
      <c r="I34" s="19">
        <f t="shared" si="4"/>
        <v>0</v>
      </c>
      <c r="J34" s="25">
        <f t="shared" si="5"/>
        <v>0</v>
      </c>
      <c r="K34" s="27">
        <f t="shared" si="6"/>
        <v>0</v>
      </c>
      <c r="L34" s="25">
        <f t="shared" si="7"/>
        <v>0</v>
      </c>
      <c r="M34" s="24"/>
    </row>
    <row r="35" spans="1:13" s="2" customFormat="1" ht="33" customHeight="1">
      <c r="A35" s="32" t="s">
        <v>86</v>
      </c>
      <c r="B35" s="24" t="s">
        <v>87</v>
      </c>
      <c r="C35" s="25">
        <f>ROUNDDOWN(('附表1-1  四川省巴中运输（集团）有限公司通江县分公司'!C35+'附表1-2   通江县利民汽车运输有限责任公司'!C35+'附表1-3   四川万顺旅游客运有限公司'!C35+'附表1-4   通江县一凡汽车运输有限公司'!C35)/4,2)</f>
        <v>7686.47</v>
      </c>
      <c r="D35" s="25">
        <f>ROUNDDOWN(('附表1-1  四川省巴中运输（集团）有限公司通江县分公司'!D35+'附表1-2   通江县利民汽车运输有限责任公司'!D35+'附表1-3   四川万顺旅游客运有限公司'!D35+'附表1-4   通江县一凡汽车运输有限公司'!D35)/4,2)</f>
        <v>7686.47</v>
      </c>
      <c r="E35" s="25">
        <f>ROUNDDOWN(('附表1-1  四川省巴中运输（集团）有限公司通江县分公司'!E35+'附表1-2   通江县利民汽车运输有限责任公司'!E35+'附表1-3   四川万顺旅游客运有限公司'!E35)/3,2)</f>
        <v>7665.25</v>
      </c>
      <c r="F35" s="25">
        <f>ROUNDDOWN(('附表1-1  四川省巴中运输（集团）有限公司通江县分公司'!F35+'附表1-2   通江县利民汽车运输有限责任公司'!F35+'附表1-3   四川万顺旅游客运有限公司'!F35)/3,2)</f>
        <v>7665.25</v>
      </c>
      <c r="G35" s="25">
        <f>ROUNDDOWN(('附表1-1  四川省巴中运输（集团）有限公司通江县分公司'!G35+'附表1-2   通江县利民汽车运输有限责任公司'!G35)/2,2)</f>
        <v>9820.71</v>
      </c>
      <c r="H35" s="25">
        <f>ROUNDDOWN(('附表1-1  四川省巴中运输（集团）有限公司通江县分公司'!H35+'附表1-2   通江县利民汽车运输有限责任公司'!H35)/2,2)</f>
        <v>9820.71</v>
      </c>
      <c r="I35" s="19">
        <f t="shared" si="4"/>
        <v>0</v>
      </c>
      <c r="J35" s="25">
        <f t="shared" si="5"/>
        <v>8390.81</v>
      </c>
      <c r="K35" s="27">
        <f t="shared" si="6"/>
        <v>0</v>
      </c>
      <c r="L35" s="25">
        <f t="shared" si="7"/>
        <v>8390.81</v>
      </c>
      <c r="M35" s="24" t="s">
        <v>38</v>
      </c>
    </row>
    <row r="36" spans="1:13" s="2" customFormat="1" ht="33" customHeight="1">
      <c r="A36" s="23" t="s">
        <v>88</v>
      </c>
      <c r="B36" s="24" t="s">
        <v>89</v>
      </c>
      <c r="C36" s="19">
        <f>ROUNDDOWN(('附表1-1  四川省巴中运输（集团）有限公司通江县分公司'!C36+'附表1-2   通江县利民汽车运输有限责任公司'!C36+'附表1-3   四川万顺旅游客运有限公司'!C36+'附表1-4   通江县一凡汽车运输有限公司'!C36)/4,2)</f>
        <v>0</v>
      </c>
      <c r="D36" s="25">
        <f>ROUNDDOWN(('附表1-1  四川省巴中运输（集团）有限公司通江县分公司'!D36+'附表1-2   通江县利民汽车运输有限责任公司'!D36+'附表1-3   四川万顺旅游客运有限公司'!D36+'附表1-4   通江县一凡汽车运输有限公司'!D36)/4,2)</f>
        <v>0</v>
      </c>
      <c r="E36" s="25">
        <f>ROUNDDOWN(('附表1-1  四川省巴中运输（集团）有限公司通江县分公司'!E36+'附表1-2   通江县利民汽车运输有限责任公司'!E36+'附表1-3   四川万顺旅游客运有限公司'!E36)/3,2)</f>
        <v>0</v>
      </c>
      <c r="F36" s="25">
        <f>ROUNDDOWN(('附表1-1  四川省巴中运输（集团）有限公司通江县分公司'!F36+'附表1-2   通江县利民汽车运输有限责任公司'!F36+'附表1-3   四川万顺旅游客运有限公司'!F36)/3,2)</f>
        <v>0</v>
      </c>
      <c r="G36" s="25">
        <f>ROUNDDOWN(('附表1-1  四川省巴中运输（集团）有限公司通江县分公司'!G36+'附表1-2   通江县利民汽车运输有限责任公司'!G36)/2,2)</f>
        <v>0</v>
      </c>
      <c r="H36" s="25">
        <f>ROUNDDOWN(('附表1-1  四川省巴中运输（集团）有限公司通江县分公司'!H36+'附表1-2   通江县利民汽车运输有限责任公司'!H36)/2,2)</f>
        <v>0</v>
      </c>
      <c r="I36" s="19">
        <f t="shared" si="4"/>
        <v>0</v>
      </c>
      <c r="J36" s="25">
        <f t="shared" si="5"/>
        <v>0</v>
      </c>
      <c r="K36" s="27">
        <f t="shared" si="6"/>
        <v>0</v>
      </c>
      <c r="L36" s="25">
        <f t="shared" si="7"/>
        <v>0</v>
      </c>
      <c r="M36" s="24"/>
    </row>
    <row r="37" spans="1:13" s="2" customFormat="1" ht="33" customHeight="1">
      <c r="A37" s="23" t="s">
        <v>90</v>
      </c>
      <c r="B37" s="24" t="s">
        <v>91</v>
      </c>
      <c r="C37" s="19">
        <f>ROUNDDOWN(('附表1-1  四川省巴中运输（集团）有限公司通江县分公司'!C37+'附表1-2   通江县利民汽车运输有限责任公司'!C37+'附表1-3   四川万顺旅游客运有限公司'!C37+'附表1-4   通江县一凡汽车运输有限公司'!C37)/4,2)</f>
        <v>0</v>
      </c>
      <c r="D37" s="25">
        <f>ROUNDDOWN(('附表1-1  四川省巴中运输（集团）有限公司通江县分公司'!D37+'附表1-2   通江县利民汽车运输有限责任公司'!D37+'附表1-3   四川万顺旅游客运有限公司'!D37+'附表1-4   通江县一凡汽车运输有限公司'!D37)/4,2)</f>
        <v>1490.4</v>
      </c>
      <c r="E37" s="25">
        <f>ROUNDDOWN(('附表1-1  四川省巴中运输（集团）有限公司通江县分公司'!E37+'附表1-2   通江县利民汽车运输有限责任公司'!E37+'附表1-3   四川万顺旅游客运有限公司'!E37)/3,2)</f>
        <v>0</v>
      </c>
      <c r="F37" s="25">
        <f>ROUNDDOWN(('附表1-1  四川省巴中运输（集团）有限公司通江县分公司'!F37+'附表1-2   通江县利民汽车运输有限责任公司'!F37+'附表1-3   四川万顺旅游客运有限公司'!F37)/3,2)</f>
        <v>1270.06</v>
      </c>
      <c r="G37" s="25">
        <f>ROUNDDOWN(('附表1-1  四川省巴中运输（集团）有限公司通江县分公司'!G37+'附表1-2   通江县利民汽车运输有限责任公司'!G37)/2,2)</f>
        <v>0</v>
      </c>
      <c r="H37" s="25">
        <f>ROUNDDOWN(('附表1-1  四川省巴中运输（集团）有限公司通江县分公司'!H37+'附表1-2   通江县利民汽车运输有限责任公司'!H37)/2,2)</f>
        <v>1432.8</v>
      </c>
      <c r="I37" s="25">
        <f t="shared" si="4"/>
        <v>4193.26</v>
      </c>
      <c r="J37" s="25">
        <f t="shared" si="5"/>
        <v>0</v>
      </c>
      <c r="K37" s="43">
        <f t="shared" si="6"/>
        <v>1397.75</v>
      </c>
      <c r="L37" s="25">
        <f t="shared" si="7"/>
        <v>1397.75</v>
      </c>
      <c r="M37" s="24"/>
    </row>
    <row r="38" spans="1:13" s="2" customFormat="1" ht="33" customHeight="1">
      <c r="A38" s="23" t="s">
        <v>92</v>
      </c>
      <c r="B38" s="24" t="s">
        <v>93</v>
      </c>
      <c r="C38" s="19">
        <f>ROUNDDOWN(('附表1-1  四川省巴中运输（集团）有限公司通江县分公司'!C38+'附表1-2   通江县利民汽车运输有限责任公司'!C38+'附表1-3   四川万顺旅游客运有限公司'!C38+'附表1-4   通江县一凡汽车运输有限公司'!C38)/4,2)</f>
        <v>0</v>
      </c>
      <c r="D38" s="25">
        <f>ROUNDDOWN(('附表1-1  四川省巴中运输（集团）有限公司通江县分公司'!D38+'附表1-2   通江县利民汽车运输有限责任公司'!D38+'附表1-3   四川万顺旅游客运有限公司'!D38+'附表1-4   通江县一凡汽车运输有限公司'!D38)/4,2)</f>
        <v>0</v>
      </c>
      <c r="E38" s="25">
        <f>ROUNDDOWN(('附表1-1  四川省巴中运输（集团）有限公司通江县分公司'!E38+'附表1-2   通江县利民汽车运输有限责任公司'!E38+'附表1-3   四川万顺旅游客运有限公司'!E38)/3,2)</f>
        <v>0</v>
      </c>
      <c r="F38" s="25">
        <f>ROUNDDOWN(('附表1-1  四川省巴中运输（集团）有限公司通江县分公司'!F38+'附表1-2   通江县利民汽车运输有限责任公司'!F38+'附表1-3   四川万顺旅游客运有限公司'!F38)/3,2)</f>
        <v>0</v>
      </c>
      <c r="G38" s="25">
        <f>ROUNDDOWN(('附表1-1  四川省巴中运输（集团）有限公司通江县分公司'!G38+'附表1-2   通江县利民汽车运输有限责任公司'!G38)/2,2)</f>
        <v>0</v>
      </c>
      <c r="H38" s="25">
        <f>ROUNDDOWN(('附表1-1  四川省巴中运输（集团）有限公司通江县分公司'!H38+'附表1-2   通江县利民汽车运输有限责任公司'!H38)/2,2)</f>
        <v>0</v>
      </c>
      <c r="I38" s="19">
        <f t="shared" si="4"/>
        <v>0</v>
      </c>
      <c r="J38" s="25">
        <f t="shared" si="5"/>
        <v>0</v>
      </c>
      <c r="K38" s="27">
        <f t="shared" si="6"/>
        <v>0</v>
      </c>
      <c r="L38" s="25">
        <f t="shared" si="7"/>
        <v>0</v>
      </c>
      <c r="M38" s="50"/>
    </row>
    <row r="39" spans="1:13" s="2" customFormat="1" ht="33" customHeight="1">
      <c r="A39" s="21" t="s">
        <v>94</v>
      </c>
      <c r="B39" s="17" t="s">
        <v>95</v>
      </c>
      <c r="C39" s="19">
        <f>ROUNDDOWN(('附表1-1  四川省巴中运输（集团）有限公司通江县分公司'!C39+'附表1-2   通江县利民汽车运输有限责任公司'!C39+'附表1-3   四川万顺旅游客运有限公司'!C39+'附表1-4   通江县一凡汽车运输有限公司'!C39)/4,2)</f>
        <v>0</v>
      </c>
      <c r="D39" s="25">
        <f>ROUNDDOWN(('附表1-1  四川省巴中运输（集团）有限公司通江县分公司'!D39+'附表1-2   通江县利民汽车运输有限责任公司'!D39+'附表1-3   四川万顺旅游客运有限公司'!D39+'附表1-4   通江县一凡汽车运输有限公司'!D39)/4,2)</f>
        <v>0</v>
      </c>
      <c r="E39" s="25">
        <f>ROUNDDOWN(('附表1-1  四川省巴中运输（集团）有限公司通江县分公司'!E39+'附表1-2   通江县利民汽车运输有限责任公司'!E39+'附表1-3   四川万顺旅游客运有限公司'!E39)/3,2)</f>
        <v>0</v>
      </c>
      <c r="F39" s="25">
        <f>ROUNDDOWN(('附表1-1  四川省巴中运输（集团）有限公司通江县分公司'!F39+'附表1-2   通江县利民汽车运输有限责任公司'!F39+'附表1-3   四川万顺旅游客运有限公司'!F39)/3,2)</f>
        <v>0</v>
      </c>
      <c r="G39" s="25">
        <f>ROUNDDOWN(('附表1-1  四川省巴中运输（集团）有限公司通江县分公司'!G39+'附表1-2   通江县利民汽车运输有限责任公司'!G39)/2,2)</f>
        <v>0</v>
      </c>
      <c r="H39" s="25">
        <f>ROUNDDOWN(('附表1-1  四川省巴中运输（集团）有限公司通江县分公司'!H39+'附表1-2   通江县利民汽车运输有限责任公司'!H39)/2,2)</f>
        <v>0</v>
      </c>
      <c r="I39" s="19">
        <f t="shared" si="4"/>
        <v>0</v>
      </c>
      <c r="J39" s="25">
        <f t="shared" si="5"/>
        <v>0</v>
      </c>
      <c r="K39" s="27">
        <f t="shared" si="6"/>
        <v>0</v>
      </c>
      <c r="L39" s="25">
        <f t="shared" si="7"/>
        <v>0</v>
      </c>
      <c r="M39" s="50"/>
    </row>
    <row r="40" spans="1:13" s="2" customFormat="1" ht="33" customHeight="1">
      <c r="A40" s="21" t="s">
        <v>96</v>
      </c>
      <c r="B40" s="17" t="s">
        <v>97</v>
      </c>
      <c r="C40" s="19">
        <f>ROUNDDOWN(('附表1-1  四川省巴中运输（集团）有限公司通江县分公司'!C40+'附表1-2   通江县利民汽车运输有限责任公司'!C40+'附表1-3   四川万顺旅游客运有限公司'!C40+'附表1-4   通江县一凡汽车运输有限公司'!C40)/4,2)</f>
        <v>175899.12</v>
      </c>
      <c r="D40" s="19">
        <f>ROUNDDOWN(('附表1-1  四川省巴中运输（集团）有限公司通江县分公司'!D40+'附表1-2   通江县利民汽车运输有限责任公司'!D40+'附表1-3   四川万顺旅游客运有限公司'!D40+'附表1-4   通江县一凡汽车运输有限公司'!D40)/4,2)</f>
        <v>179613.73</v>
      </c>
      <c r="E40" s="19">
        <f>ROUNDDOWN(('附表1-1  四川省巴中运输（集团）有限公司通江县分公司'!E40+'附表1-2   通江县利民汽车运输有限责任公司'!E40+'附表1-3   四川万顺旅游客运有限公司'!E40)/3,2)</f>
        <v>163391.29</v>
      </c>
      <c r="F40" s="19">
        <f>ROUNDDOWN(('附表1-1  四川省巴中运输（集团）有限公司通江县分公司'!F40+'附表1-2   通江县利民汽车运输有限责任公司'!F40+'附表1-3   四川万顺旅游客运有限公司'!F40)/3,2)</f>
        <v>167808.89</v>
      </c>
      <c r="G40" s="19">
        <f>ROUNDDOWN(('附表1-1  四川省巴中运输（集团）有限公司通江县分公司'!G40+'附表1-2   通江县利民汽车运输有限责任公司'!G40)/2,2)</f>
        <v>162511.05</v>
      </c>
      <c r="H40" s="19">
        <f>ROUNDDOWN(('附表1-1  四川省巴中运输（集团）有限公司通江县分公司'!H40+'附表1-2   通江县利民汽车运输有限责任公司'!H40)/2,2)</f>
        <v>184836.66</v>
      </c>
      <c r="I40" s="19">
        <f t="shared" si="4"/>
        <v>30457.820000000036</v>
      </c>
      <c r="J40" s="19">
        <f t="shared" si="5"/>
        <v>167267.15</v>
      </c>
      <c r="K40" s="27">
        <f t="shared" si="6"/>
        <v>10152.61</v>
      </c>
      <c r="L40" s="19">
        <f t="shared" si="7"/>
        <v>177419.76</v>
      </c>
      <c r="M40" s="17" t="s">
        <v>98</v>
      </c>
    </row>
    <row r="41" spans="1:13" s="2" customFormat="1" ht="33" customHeight="1">
      <c r="A41" s="21" t="s">
        <v>99</v>
      </c>
      <c r="B41" s="17" t="s">
        <v>100</v>
      </c>
      <c r="C41" s="19">
        <f>ROUNDDOWN(('附表1-1  四川省巴中运输（集团）有限公司通江县分公司'!C41+'附表1-2   通江县利民汽车运输有限责任公司'!C41+'附表1-3   四川万顺旅游客运有限公司'!C41+'附表1-4   通江县一凡汽车运输有限公司'!C41)/4,2)</f>
        <v>170985.34</v>
      </c>
      <c r="D41" s="19">
        <f>ROUNDDOWN(('附表1-1  四川省巴中运输（集团）有限公司通江县分公司'!D41+'附表1-2   通江县利民汽车运输有限责任公司'!D41+'附表1-3   四川万顺旅游客运有限公司'!D41+'附表1-4   通江县一凡汽车运输有限公司'!D41)/4,2)</f>
        <v>172393.55</v>
      </c>
      <c r="E41" s="19">
        <f>ROUNDDOWN(('附表1-1  四川省巴中运输（集团）有限公司通江县分公司'!E41+'附表1-2   通江县利民汽车运输有限责任公司'!E41+'附表1-3   四川万顺旅游客运有限公司'!E41)/3,2)</f>
        <v>161732.85</v>
      </c>
      <c r="F41" s="19">
        <f>ROUNDDOWN(('附表1-1  四川省巴中运输（集团）有限公司通江县分公司'!F41+'附表1-2   通江县利民汽车运输有限责任公司'!F41+'附表1-3   四川万顺旅游客运有限公司'!F41)/3,2)</f>
        <v>162127.71</v>
      </c>
      <c r="G41" s="19">
        <f>ROUNDDOWN(('附表1-1  四川省巴中运输（集团）有限公司通江县分公司'!G41+'附表1-2   通江县利民汽车运输有限责任公司'!G41)/2,2)</f>
        <v>162511.05</v>
      </c>
      <c r="H41" s="19">
        <f>ROUNDDOWN(('附表1-1  四川省巴中运输（集团）有限公司通江县分公司'!H41+'附表1-2   通江县利民汽车运输有限责任公司'!H41)/2,2)</f>
        <v>178338.37</v>
      </c>
      <c r="I41" s="19">
        <f t="shared" si="4"/>
        <v>17630.389999999985</v>
      </c>
      <c r="J41" s="19">
        <f t="shared" si="5"/>
        <v>165076.41</v>
      </c>
      <c r="K41" s="27">
        <f t="shared" si="6"/>
        <v>5876.8</v>
      </c>
      <c r="L41" s="19">
        <f t="shared" si="7"/>
        <v>170953.21</v>
      </c>
      <c r="M41" s="17"/>
    </row>
    <row r="42" spans="1:13" s="2" customFormat="1" ht="33" customHeight="1">
      <c r="A42" s="21" t="s">
        <v>101</v>
      </c>
      <c r="B42" s="17" t="s">
        <v>102</v>
      </c>
      <c r="C42" s="19">
        <f>ROUNDDOWN(('附表1-1  四川省巴中运输（集团）有限公司通江县分公司'!C42+'附表1-2   通江县利民汽车运输有限责任公司'!C42+'附表1-3   四川万顺旅游客运有限公司'!C42+'附表1-4   通江县一凡汽车运输有限公司'!C42)/4,2)</f>
        <v>7450.54</v>
      </c>
      <c r="D42" s="19">
        <f>ROUNDDOWN(('附表1-1  四川省巴中运输（集团）有限公司通江县分公司'!D42+'附表1-2   通江县利民汽车运输有限责任公司'!D42+'附表1-3   四川万顺旅游客运有限公司'!D42+'附表1-4   通江县一凡汽车运输有限公司'!D42)/4,2)</f>
        <v>9329.85</v>
      </c>
      <c r="E42" s="19">
        <f>ROUNDDOWN(('附表1-1  四川省巴中运输（集团）有限公司通江县分公司'!E42+'附表1-2   通江县利民汽车运输有限责任公司'!E42+'附表1-3   四川万顺旅游客运有限公司'!E42)/3,2)</f>
        <v>6613.97</v>
      </c>
      <c r="F42" s="19">
        <f>ROUNDDOWN(('附表1-1  四川省巴中运输（集团）有限公司通江县分公司'!F42+'附表1-2   通江县利民汽车运输有限责任公司'!F42+'附表1-3   四川万顺旅游客运有限公司'!F42)/3,2)</f>
        <v>8662.44</v>
      </c>
      <c r="G42" s="19">
        <f>ROUNDDOWN(('附表1-1  四川省巴中运输（集团）有限公司通江县分公司'!G42+'附表1-2   通江县利民汽车运输有限责任公司'!G42)/2,2)</f>
        <v>6293.61</v>
      </c>
      <c r="H42" s="19">
        <f>ROUNDDOWN(('附表1-1  四川省巴中运输（集团）有限公司通江县分公司'!H42+'附表1-2   通江县利民汽车运输有限责任公司'!H42)/2,2)</f>
        <v>8258.73</v>
      </c>
      <c r="I42" s="19">
        <f t="shared" si="4"/>
        <v>5892.899999999999</v>
      </c>
      <c r="J42" s="19">
        <f t="shared" si="5"/>
        <v>6786.04</v>
      </c>
      <c r="K42" s="27">
        <f t="shared" si="6"/>
        <v>1964.3</v>
      </c>
      <c r="L42" s="19">
        <f t="shared" si="7"/>
        <v>8750.34</v>
      </c>
      <c r="M42" s="17" t="s">
        <v>103</v>
      </c>
    </row>
    <row r="43" spans="1:13" s="2" customFormat="1" ht="33" customHeight="1">
      <c r="A43" s="21" t="s">
        <v>104</v>
      </c>
      <c r="B43" s="17" t="s">
        <v>105</v>
      </c>
      <c r="C43" s="19">
        <f>ROUNDDOWN(('附表1-1  四川省巴中运输（集团）有限公司通江县分公司'!C43+'附表1-2   通江县利民汽车运输有限责任公司'!C43+'附表1-3   四川万顺旅游客运有限公司'!C43+'附表1-4   通江县一凡汽车运输有限公司'!C43)/4,2)</f>
        <v>23.6</v>
      </c>
      <c r="D43" s="19">
        <f>ROUNDDOWN(('附表1-1  四川省巴中运输（集团）有限公司通江县分公司'!D43+'附表1-2   通江县利民汽车运输有限责任公司'!D43+'附表1-3   四川万顺旅游客运有限公司'!D43+'附表1-4   通江县一凡汽车运输有限公司'!D43)/4,2)</f>
        <v>19.52</v>
      </c>
      <c r="E43" s="19">
        <f>ROUNDDOWN(('附表1-1  四川省巴中运输（集团）有限公司通江县分公司'!E43+'附表1-2   通江县利民汽车运输有限责任公司'!E43+'附表1-3   四川万顺旅游客运有限公司'!E43)/3,2)</f>
        <v>25.05</v>
      </c>
      <c r="F43" s="19">
        <f>ROUNDDOWN(('附表1-1  四川省巴中运输（集团）有限公司通江县分公司'!F43+'附表1-2   通江县利民汽车运输有限责任公司'!F43+'附表1-3   四川万顺旅游客运有限公司'!F43)/3,2)</f>
        <v>19.56</v>
      </c>
      <c r="G43" s="19">
        <f>ROUNDDOWN(('附表1-1  四川省巴中运输（集团）有限公司通江县分公司'!G43+'附表1-2   通江县利民汽车运输有限责任公司'!G43)/2,2)</f>
        <v>25.82</v>
      </c>
      <c r="H43" s="19">
        <f>ROUNDDOWN(('附表1-1  四川省巴中运输（集团）有限公司通江县分公司'!H43+'附表1-2   通江县利民汽车运输有限责任公司'!H43)/2,2)</f>
        <v>22.61</v>
      </c>
      <c r="I43" s="19">
        <f t="shared" si="4"/>
        <v>-12.780000000000005</v>
      </c>
      <c r="J43" s="19">
        <f t="shared" si="5"/>
        <v>24.82</v>
      </c>
      <c r="K43" s="27">
        <f t="shared" si="6"/>
        <v>-4.26</v>
      </c>
      <c r="L43" s="19">
        <f t="shared" si="7"/>
        <v>20.56</v>
      </c>
      <c r="M43" s="17" t="s">
        <v>106</v>
      </c>
    </row>
    <row r="44" spans="1:13" s="2" customFormat="1" ht="33" customHeight="1">
      <c r="A44" s="21" t="s">
        <v>107</v>
      </c>
      <c r="B44" s="17" t="s">
        <v>108</v>
      </c>
      <c r="C44" s="19">
        <f>ROUNDDOWN(('附表1-1  四川省巴中运输（集团）有限公司通江县分公司'!C44+'附表1-2   通江县利民汽车运输有限责任公司'!C44+'附表1-3   四川万顺旅游客运有限公司'!C44+'附表1-4   通江县一凡汽车运输有限公司'!C44)/4,2)</f>
        <v>0.55</v>
      </c>
      <c r="D44" s="19">
        <f>ROUNDDOWN(('附表1-1  四川省巴中运输（集团）有限公司通江县分公司'!D44+'附表1-2   通江县利民汽车运输有限责任公司'!D44+'附表1-3   四川万顺旅游客运有限公司'!D44+'附表1-4   通江县一凡汽车运输有限公司'!D44)/4,2)</f>
        <v>0.5</v>
      </c>
      <c r="E44" s="19">
        <f>ROUNDDOWN(('附表1-1  四川省巴中运输（集团）有限公司通江县分公司'!E44+'附表1-2   通江县利民汽车运输有限责任公司'!E44+'附表1-3   四川万顺旅游客运有限公司'!E44)/3,2)</f>
        <v>0.57</v>
      </c>
      <c r="F44" s="19">
        <f>ROUNDDOWN(('附表1-1  四川省巴中运输（集团）有限公司通江县分公司'!F44+'附表1-2   通江县利民汽车运输有限责任公司'!F44+'附表1-3   四川万顺旅游客运有限公司'!F44)/3,2)</f>
        <v>0.55</v>
      </c>
      <c r="G44" s="19">
        <f>ROUNDDOWN(('附表1-1  四川省巴中运输（集团）有限公司通江县分公司'!G44+'附表1-2   通江县利民汽车运输有限责任公司'!G44)/2,2)</f>
        <v>0.53</v>
      </c>
      <c r="H44" s="19">
        <f>ROUNDDOWN(('附表1-1  四川省巴中运输（集团）有限公司通江县分公司'!H44+'附表1-2   通江县利民汽车运输有限责任公司'!H44)/2,2)</f>
        <v>0.49</v>
      </c>
      <c r="I44" s="19">
        <f t="shared" si="4"/>
        <v>-0.10999999999999999</v>
      </c>
      <c r="J44" s="19">
        <f t="shared" si="5"/>
        <v>0.55</v>
      </c>
      <c r="K44" s="27">
        <f t="shared" si="6"/>
        <v>-0.04</v>
      </c>
      <c r="L44" s="19">
        <f t="shared" si="7"/>
        <v>0.51</v>
      </c>
      <c r="M44" s="50"/>
    </row>
    <row r="45" spans="1:13" s="2" customFormat="1" ht="33" customHeight="1">
      <c r="A45" s="21" t="s">
        <v>109</v>
      </c>
      <c r="B45" s="17" t="s">
        <v>110</v>
      </c>
      <c r="C45" s="19">
        <f>ROUNDDOWN(('附表1-1  四川省巴中运输（集团）有限公司通江县分公司'!C45+'附表1-2   通江县利民汽车运输有限责任公司'!C45+'附表1-3   四川万顺旅游客运有限公司'!C45+'附表1-4   通江县一凡汽车运输有限公司'!C45)/4,2)</f>
        <v>52.05</v>
      </c>
      <c r="D45" s="19">
        <f>ROUNDDOWN(('附表1-1  四川省巴中运输（集团）有限公司通江县分公司'!D45+'附表1-2   通江县利民汽车运输有限责任公司'!D45+'附表1-3   四川万顺旅游客运有限公司'!D45+'附表1-4   通江县一凡汽车运输有限公司'!D45)/4,2)</f>
        <v>52.05</v>
      </c>
      <c r="E45" s="19">
        <f>ROUNDDOWN(('附表1-1  四川省巴中运输（集团）有限公司通江县分公司'!E45+'附表1-2   通江县利民汽车运输有限责任公司'!E45+'附表1-3   四川万顺旅游客运有限公司'!E45)/3,2)</f>
        <v>51.64</v>
      </c>
      <c r="F45" s="19">
        <f>ROUNDDOWN(('附表1-1  四川省巴中运输（集团）有限公司通江县分公司'!F45+'附表1-2   通江县利民汽车运输有限责任公司'!F45+'附表1-3   四川万顺旅游客运有限公司'!F45)/3,2)</f>
        <v>51.64</v>
      </c>
      <c r="G45" s="19">
        <f>ROUNDDOWN(('附表1-1  四川省巴中运输（集团）有限公司通江县分公司'!G45+'附表1-2   通江县利民汽车运输有限责任公司'!G45)/2,2)</f>
        <v>55.71</v>
      </c>
      <c r="H45" s="19">
        <f>ROUNDDOWN(('附表1-1  四川省巴中运输（集团）有限公司通江县分公司'!H45+'附表1-2   通江县利民汽车运输有限责任公司'!H45)/2,2)</f>
        <v>55.71</v>
      </c>
      <c r="I45" s="19">
        <f t="shared" si="4"/>
        <v>0</v>
      </c>
      <c r="J45" s="19">
        <f t="shared" si="5"/>
        <v>53.13</v>
      </c>
      <c r="K45" s="27">
        <f>ROUND(I45/4,2)</f>
        <v>0</v>
      </c>
      <c r="L45" s="19">
        <f t="shared" si="7"/>
        <v>53.13</v>
      </c>
      <c r="M45" s="33"/>
    </row>
    <row r="46" s="76" customFormat="1" ht="33" customHeight="1">
      <c r="A46" s="78" t="s">
        <v>111</v>
      </c>
    </row>
    <row r="47" spans="3:12" s="2" customFormat="1" ht="21.75" customHeight="1">
      <c r="C47" s="79"/>
      <c r="D47" s="79"/>
      <c r="E47" s="79"/>
      <c r="F47" s="79"/>
      <c r="G47" s="79"/>
      <c r="H47" s="79"/>
      <c r="I47" s="79"/>
      <c r="J47" s="79"/>
      <c r="K47" s="79"/>
      <c r="L47" s="79"/>
    </row>
    <row r="48" spans="3:12" ht="13.5">
      <c r="C48" s="79"/>
      <c r="D48" s="79"/>
      <c r="E48" s="79"/>
      <c r="F48" s="79"/>
      <c r="G48" s="79"/>
      <c r="H48" s="79"/>
      <c r="I48" s="79"/>
      <c r="J48" s="79"/>
      <c r="K48" s="79"/>
      <c r="L48" s="79"/>
    </row>
    <row r="49" spans="3:12" ht="13.5"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1:9" s="2" customFormat="1" ht="13.5">
      <c r="A50" s="34"/>
      <c r="I50" s="34"/>
    </row>
    <row r="51" spans="3:12" s="2" customFormat="1" ht="13.5">
      <c r="C51" s="35"/>
      <c r="D51" s="35"/>
      <c r="E51" s="35"/>
      <c r="F51" s="35"/>
      <c r="G51" s="35"/>
      <c r="H51" s="35"/>
      <c r="I51" s="35"/>
      <c r="J51" s="35"/>
      <c r="K51" s="35"/>
      <c r="L51" s="35"/>
    </row>
  </sheetData>
  <sheetProtection/>
  <mergeCells count="7">
    <mergeCell ref="A2:M2"/>
    <mergeCell ref="C3:D3"/>
    <mergeCell ref="E3:F3"/>
    <mergeCell ref="G3:H3"/>
    <mergeCell ref="A3:A4"/>
    <mergeCell ref="B3:B4"/>
    <mergeCell ref="M3:M4"/>
  </mergeCells>
  <printOptions/>
  <pageMargins left="0.66875" right="0.5506944444444445" top="0.39305555555555555" bottom="0.60625" header="0.5118055555555555" footer="0.3541666666666667"/>
  <pageSetup firstPageNumber="13" useFirstPageNumber="1" fitToHeight="0" fitToWidth="1" horizontalDpi="600" verticalDpi="600" orientation="landscape" paperSize="9" scale="58"/>
  <headerFooter scaleWithDoc="0" alignWithMargins="0">
    <oddFooter>&amp;C第 &amp;P 页</oddFooter>
  </headerFooter>
  <rowBreaks count="1" manualBreakCount="1">
    <brk id="2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Zeros="0" view="pageBreakPreview" zoomScaleSheetLayoutView="100" workbookViewId="0" topLeftCell="A4">
      <selection activeCell="K4" sqref="K4"/>
    </sheetView>
  </sheetViews>
  <sheetFormatPr defaultColWidth="8.75390625" defaultRowHeight="14.25"/>
  <cols>
    <col min="1" max="1" width="30.50390625" style="2" customWidth="1"/>
    <col min="2" max="2" width="16.625" style="2" customWidth="1"/>
    <col min="3" max="8" width="11.75390625" style="2" customWidth="1"/>
    <col min="9" max="9" width="16.50390625" style="2" customWidth="1"/>
    <col min="10" max="10" width="14.00390625" style="2" customWidth="1"/>
    <col min="11" max="11" width="16.125" style="2" customWidth="1"/>
    <col min="12" max="12" width="14.00390625" style="2" customWidth="1"/>
    <col min="13" max="13" width="32.125" style="2" customWidth="1"/>
    <col min="14" max="14" width="8.75390625" style="2" customWidth="1"/>
    <col min="15" max="15" width="13.75390625" style="2" bestFit="1" customWidth="1"/>
    <col min="16" max="16" width="12.625" style="2" bestFit="1" customWidth="1"/>
    <col min="17" max="16384" width="8.75390625" style="2" customWidth="1"/>
  </cols>
  <sheetData>
    <row r="1" spans="1:2" s="1" customFormat="1" ht="25.5" customHeight="1">
      <c r="A1" s="5" t="s">
        <v>112</v>
      </c>
      <c r="B1" s="6"/>
    </row>
    <row r="2" spans="1:13" s="2" customFormat="1" ht="33.75" customHeight="1">
      <c r="A2" s="7" t="s">
        <v>113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37" customFormat="1" ht="33.75" customHeight="1">
      <c r="A3" s="8" t="s">
        <v>2</v>
      </c>
      <c r="B3" s="8" t="s">
        <v>3</v>
      </c>
      <c r="C3" s="10" t="s">
        <v>4</v>
      </c>
      <c r="D3" s="11"/>
      <c r="E3" s="10" t="s">
        <v>5</v>
      </c>
      <c r="F3" s="11"/>
      <c r="G3" s="52" t="s">
        <v>6</v>
      </c>
      <c r="H3" s="52"/>
      <c r="I3" s="41" t="s">
        <v>114</v>
      </c>
      <c r="J3" s="41" t="s">
        <v>114</v>
      </c>
      <c r="K3" s="41" t="s">
        <v>7</v>
      </c>
      <c r="L3" s="41" t="s">
        <v>114</v>
      </c>
      <c r="M3" s="8" t="s">
        <v>8</v>
      </c>
    </row>
    <row r="4" spans="1:13" s="37" customFormat="1" ht="36.75" customHeight="1">
      <c r="A4" s="14"/>
      <c r="B4" s="14"/>
      <c r="C4" s="15" t="s">
        <v>9</v>
      </c>
      <c r="D4" s="15" t="s">
        <v>10</v>
      </c>
      <c r="E4" s="15" t="s">
        <v>9</v>
      </c>
      <c r="F4" s="15" t="s">
        <v>10</v>
      </c>
      <c r="G4" s="45" t="s">
        <v>9</v>
      </c>
      <c r="H4" s="45" t="s">
        <v>10</v>
      </c>
      <c r="I4" s="42" t="s">
        <v>11</v>
      </c>
      <c r="J4" s="42" t="s">
        <v>12</v>
      </c>
      <c r="K4" s="45" t="s">
        <v>13</v>
      </c>
      <c r="L4" s="42" t="s">
        <v>14</v>
      </c>
      <c r="M4" s="14"/>
    </row>
    <row r="5" spans="1:13" s="60" customFormat="1" ht="33.75" customHeight="1">
      <c r="A5" s="54" t="s">
        <v>15</v>
      </c>
      <c r="B5" s="55" t="s">
        <v>16</v>
      </c>
      <c r="C5" s="18">
        <v>86</v>
      </c>
      <c r="D5" s="18">
        <v>86</v>
      </c>
      <c r="E5" s="18">
        <v>123</v>
      </c>
      <c r="F5" s="18">
        <v>123</v>
      </c>
      <c r="G5" s="18">
        <v>125</v>
      </c>
      <c r="H5" s="18">
        <v>125</v>
      </c>
      <c r="I5" s="19">
        <f aca="true" t="shared" si="0" ref="I5:I45">D5-C5+F5-E5+H5-G5</f>
        <v>0</v>
      </c>
      <c r="J5" s="19">
        <f>ROUND(SUM(C5,E5,G5)/3,0)</f>
        <v>111</v>
      </c>
      <c r="K5" s="27">
        <f>ROUND(I5/3,2)</f>
        <v>0</v>
      </c>
      <c r="L5" s="19">
        <f>ROUND(SUM(D5,F5,H5)/3,0)</f>
        <v>111</v>
      </c>
      <c r="M5" s="62"/>
    </row>
    <row r="6" spans="1:13" s="61" customFormat="1" ht="28.5" customHeight="1">
      <c r="A6" s="56" t="s">
        <v>17</v>
      </c>
      <c r="B6" s="55" t="s">
        <v>18</v>
      </c>
      <c r="C6" s="19">
        <f aca="true" t="shared" si="1" ref="C6:H6">C7</f>
        <v>66240</v>
      </c>
      <c r="D6" s="19">
        <f t="shared" si="1"/>
        <v>66240</v>
      </c>
      <c r="E6" s="19">
        <f t="shared" si="1"/>
        <v>61836.92</v>
      </c>
      <c r="F6" s="19">
        <f t="shared" si="1"/>
        <v>76668.31</v>
      </c>
      <c r="G6" s="19">
        <f t="shared" si="1"/>
        <v>52320</v>
      </c>
      <c r="H6" s="19">
        <f t="shared" si="1"/>
        <v>75552</v>
      </c>
      <c r="I6" s="19">
        <f t="shared" si="0"/>
        <v>38063.39</v>
      </c>
      <c r="J6" s="19">
        <f aca="true" t="shared" si="2" ref="J6:J45">ROUND(SUM(C6,E6,G6)/3,2)</f>
        <v>60132.31</v>
      </c>
      <c r="K6" s="27">
        <f aca="true" t="shared" si="3" ref="K6:K45">ROUND(I6/3,2)</f>
        <v>12687.8</v>
      </c>
      <c r="L6" s="19">
        <f aca="true" t="shared" si="4" ref="L6:L45">ROUND(SUM(D6,F6,H6)/3,2)</f>
        <v>72820.1</v>
      </c>
      <c r="M6" s="63" t="s">
        <v>115</v>
      </c>
    </row>
    <row r="7" spans="1:13" s="61" customFormat="1" ht="28.5" customHeight="1">
      <c r="A7" s="57" t="s">
        <v>116</v>
      </c>
      <c r="B7" s="58" t="s">
        <v>21</v>
      </c>
      <c r="C7" s="25">
        <f>'[1]巴运（2021）'!AI20</f>
        <v>66240</v>
      </c>
      <c r="D7" s="25">
        <f>'[1]巴运核定（2021）'!AK20</f>
        <v>66240</v>
      </c>
      <c r="E7" s="25">
        <f>'[1]巴运 (2020)'!AI19</f>
        <v>61836.92</v>
      </c>
      <c r="F7" s="25">
        <f>'[1]巴运 核定(2020)'!AK19</f>
        <v>76668.31</v>
      </c>
      <c r="G7" s="25">
        <f>'[1]巴运 (2019)'!AI13</f>
        <v>52320</v>
      </c>
      <c r="H7" s="25">
        <f>'[1]巴运核定 (2019)'!AK13</f>
        <v>75552</v>
      </c>
      <c r="I7" s="25">
        <f t="shared" si="0"/>
        <v>38063.39</v>
      </c>
      <c r="J7" s="25">
        <f t="shared" si="2"/>
        <v>60132.31</v>
      </c>
      <c r="K7" s="43">
        <f t="shared" si="3"/>
        <v>12687.8</v>
      </c>
      <c r="L7" s="25">
        <f t="shared" si="4"/>
        <v>72820.1</v>
      </c>
      <c r="M7" s="64"/>
    </row>
    <row r="8" spans="1:13" s="60" customFormat="1" ht="28.5" customHeight="1">
      <c r="A8" s="58" t="s">
        <v>117</v>
      </c>
      <c r="B8" s="58" t="s">
        <v>23</v>
      </c>
      <c r="C8" s="25">
        <v>0.5</v>
      </c>
      <c r="D8" s="25">
        <v>0.5</v>
      </c>
      <c r="E8" s="25">
        <v>0.48</v>
      </c>
      <c r="F8" s="25">
        <v>0.48</v>
      </c>
      <c r="G8" s="25">
        <v>0.52</v>
      </c>
      <c r="H8" s="25">
        <v>0.52</v>
      </c>
      <c r="I8" s="25">
        <f t="shared" si="0"/>
        <v>0</v>
      </c>
      <c r="J8" s="25">
        <f t="shared" si="2"/>
        <v>0.5</v>
      </c>
      <c r="K8" s="43">
        <f t="shared" si="3"/>
        <v>0</v>
      </c>
      <c r="L8" s="25">
        <f t="shared" si="4"/>
        <v>0.5</v>
      </c>
      <c r="M8" s="64"/>
    </row>
    <row r="9" spans="1:13" s="61" customFormat="1" ht="28.5" customHeight="1">
      <c r="A9" s="56" t="s">
        <v>118</v>
      </c>
      <c r="B9" s="55" t="s">
        <v>25</v>
      </c>
      <c r="C9" s="19">
        <f>'[1]巴运（2021）'!AG20</f>
        <v>136</v>
      </c>
      <c r="D9" s="19">
        <f>'[1]巴运核定（2021）'!AI20</f>
        <v>136</v>
      </c>
      <c r="E9" s="19">
        <f>'[1]巴运 (2020)'!AG19</f>
        <v>133.54</v>
      </c>
      <c r="F9" s="19">
        <f>'[1]巴运 核定(2020)'!AI19</f>
        <v>163.69</v>
      </c>
      <c r="G9" s="19">
        <f>'[1]巴运 (2019)'!AG13</f>
        <v>96</v>
      </c>
      <c r="H9" s="19">
        <f>'[1]巴运核定 (2019)'!AI13</f>
        <v>152</v>
      </c>
      <c r="I9" s="19">
        <f t="shared" si="0"/>
        <v>86.15</v>
      </c>
      <c r="J9" s="19">
        <f t="shared" si="2"/>
        <v>121.85</v>
      </c>
      <c r="K9" s="27">
        <f t="shared" si="3"/>
        <v>28.72</v>
      </c>
      <c r="L9" s="19">
        <f t="shared" si="4"/>
        <v>150.56</v>
      </c>
      <c r="M9" s="62"/>
    </row>
    <row r="10" spans="1:13" s="61" customFormat="1" ht="28.5" customHeight="1">
      <c r="A10" s="56" t="s">
        <v>119</v>
      </c>
      <c r="B10" s="55" t="s">
        <v>27</v>
      </c>
      <c r="C10" s="19">
        <f aca="true" t="shared" si="5" ref="C10:H10">C6/C9/12</f>
        <v>40.588235294117645</v>
      </c>
      <c r="D10" s="19">
        <f t="shared" si="5"/>
        <v>40.588235294117645</v>
      </c>
      <c r="E10" s="19">
        <f t="shared" si="5"/>
        <v>38.58826319205232</v>
      </c>
      <c r="F10" s="19">
        <f t="shared" si="5"/>
        <v>39.03125318182744</v>
      </c>
      <c r="G10" s="19">
        <f t="shared" si="5"/>
        <v>45.416666666666664</v>
      </c>
      <c r="H10" s="19">
        <f t="shared" si="5"/>
        <v>41.421052631578945</v>
      </c>
      <c r="I10" s="19">
        <f t="shared" si="0"/>
        <v>-3.552624045312598</v>
      </c>
      <c r="J10" s="19">
        <f t="shared" si="2"/>
        <v>41.53</v>
      </c>
      <c r="K10" s="27">
        <f t="shared" si="3"/>
        <v>-1.18</v>
      </c>
      <c r="L10" s="19">
        <f t="shared" si="4"/>
        <v>40.35</v>
      </c>
      <c r="M10" s="54" t="s">
        <v>28</v>
      </c>
    </row>
    <row r="11" spans="1:13" s="61" customFormat="1" ht="28.5" customHeight="1">
      <c r="A11" s="56" t="s">
        <v>120</v>
      </c>
      <c r="B11" s="55" t="s">
        <v>30</v>
      </c>
      <c r="C11" s="19">
        <v>0.5</v>
      </c>
      <c r="D11" s="19">
        <v>0.5</v>
      </c>
      <c r="E11" s="19">
        <v>0.48</v>
      </c>
      <c r="F11" s="19">
        <v>0.48</v>
      </c>
      <c r="G11" s="19">
        <v>0.52</v>
      </c>
      <c r="H11" s="19">
        <v>0.52</v>
      </c>
      <c r="I11" s="19">
        <f t="shared" si="0"/>
        <v>0</v>
      </c>
      <c r="J11" s="19">
        <f t="shared" si="2"/>
        <v>0.5</v>
      </c>
      <c r="K11" s="27">
        <f t="shared" si="3"/>
        <v>0</v>
      </c>
      <c r="L11" s="19">
        <f t="shared" si="4"/>
        <v>0.5</v>
      </c>
      <c r="M11" s="65"/>
    </row>
    <row r="12" spans="1:13" s="61" customFormat="1" ht="28.5" customHeight="1">
      <c r="A12" s="56" t="s">
        <v>31</v>
      </c>
      <c r="B12" s="55" t="s">
        <v>32</v>
      </c>
      <c r="C12" s="19">
        <f>'[1]巴运（2021）'!AL20</f>
        <v>131784</v>
      </c>
      <c r="D12" s="19">
        <f>'[1]巴运核定（2021）'!AN20</f>
        <v>131784</v>
      </c>
      <c r="E12" s="19">
        <f>'[1]巴运 (2020)'!AL19</f>
        <v>115521.54</v>
      </c>
      <c r="F12" s="19">
        <f>'[1]巴运 核定(2020)'!AN19</f>
        <v>144543.38</v>
      </c>
      <c r="G12" s="19">
        <f>'[1]巴运 (2019)'!AL13</f>
        <v>106679.04</v>
      </c>
      <c r="H12" s="19">
        <f>'[1]巴运核定 (2019)'!AN13</f>
        <v>146465.28</v>
      </c>
      <c r="I12" s="19">
        <f t="shared" si="0"/>
        <v>68808.08</v>
      </c>
      <c r="J12" s="19">
        <f t="shared" si="2"/>
        <v>117994.86</v>
      </c>
      <c r="K12" s="27">
        <f t="shared" si="3"/>
        <v>22936.03</v>
      </c>
      <c r="L12" s="19">
        <f t="shared" si="4"/>
        <v>140930.89</v>
      </c>
      <c r="M12" s="65"/>
    </row>
    <row r="13" spans="1:13" s="61" customFormat="1" ht="28.5" customHeight="1">
      <c r="A13" s="56" t="s">
        <v>33</v>
      </c>
      <c r="B13" s="55" t="s">
        <v>121</v>
      </c>
      <c r="C13" s="19">
        <f aca="true" t="shared" si="6" ref="C13:H13">SUM(C14:C16)</f>
        <v>9175.43</v>
      </c>
      <c r="D13" s="19">
        <f t="shared" si="6"/>
        <v>6035.82</v>
      </c>
      <c r="E13" s="25">
        <f t="shared" si="6"/>
        <v>0</v>
      </c>
      <c r="F13" s="19">
        <f t="shared" si="6"/>
        <v>5745.62</v>
      </c>
      <c r="G13" s="19">
        <f t="shared" si="6"/>
        <v>0</v>
      </c>
      <c r="H13" s="19">
        <f t="shared" si="6"/>
        <v>5705.14</v>
      </c>
      <c r="I13" s="19">
        <f t="shared" si="0"/>
        <v>8311.15</v>
      </c>
      <c r="J13" s="19">
        <f t="shared" si="2"/>
        <v>3058.48</v>
      </c>
      <c r="K13" s="27">
        <f t="shared" si="3"/>
        <v>2770.38</v>
      </c>
      <c r="L13" s="19">
        <f t="shared" si="4"/>
        <v>5828.86</v>
      </c>
      <c r="M13" s="54"/>
    </row>
    <row r="14" spans="1:13" s="61" customFormat="1" ht="28.5" customHeight="1">
      <c r="A14" s="57" t="s">
        <v>122</v>
      </c>
      <c r="B14" s="58" t="s">
        <v>37</v>
      </c>
      <c r="C14" s="25">
        <f>'[1]巴运（2021）'!AK20</f>
        <v>7395.43</v>
      </c>
      <c r="D14" s="25">
        <f>'[11]巴运核定（2021）'!AM20</f>
        <v>4255.82</v>
      </c>
      <c r="E14" s="25">
        <f>'[1]巴运 (2020)'!AK19</f>
        <v>0</v>
      </c>
      <c r="F14" s="25">
        <f>'[4]通江农村客运车辆成本信息核定表'!$F$14</f>
        <v>5745.62</v>
      </c>
      <c r="G14" s="25">
        <f>'[1]巴运 (2019)'!AK13</f>
        <v>0</v>
      </c>
      <c r="H14" s="25">
        <f>'[4]通江农村客运车辆成本信息核定表'!$H$14</f>
        <v>5705.14</v>
      </c>
      <c r="I14" s="25">
        <f t="shared" si="0"/>
        <v>8311.15</v>
      </c>
      <c r="J14" s="25">
        <f t="shared" si="2"/>
        <v>2465.14</v>
      </c>
      <c r="K14" s="43">
        <f t="shared" si="3"/>
        <v>2770.38</v>
      </c>
      <c r="L14" s="25">
        <f t="shared" si="4"/>
        <v>5235.53</v>
      </c>
      <c r="M14" s="66" t="s">
        <v>38</v>
      </c>
    </row>
    <row r="15" spans="1:13" s="61" customFormat="1" ht="28.5" customHeight="1">
      <c r="A15" s="57" t="s">
        <v>123</v>
      </c>
      <c r="B15" s="58" t="s">
        <v>40</v>
      </c>
      <c r="C15" s="25">
        <f>'[1]巴运（2021）'!AJ20</f>
        <v>1780</v>
      </c>
      <c r="D15" s="25">
        <f>'[11]巴运核定（2021）'!AL20</f>
        <v>1780</v>
      </c>
      <c r="E15" s="25">
        <f>'[1]巴运 (2020)'!AJ19</f>
        <v>0</v>
      </c>
      <c r="F15" s="25"/>
      <c r="G15" s="25">
        <f>'[1]巴运 (2019)'!AJ13</f>
        <v>0</v>
      </c>
      <c r="H15" s="25"/>
      <c r="I15" s="25">
        <f t="shared" si="0"/>
        <v>0</v>
      </c>
      <c r="J15" s="25">
        <f t="shared" si="2"/>
        <v>593.33</v>
      </c>
      <c r="K15" s="43">
        <f t="shared" si="3"/>
        <v>0</v>
      </c>
      <c r="L15" s="25">
        <f t="shared" si="4"/>
        <v>593.33</v>
      </c>
      <c r="M15" s="66" t="s">
        <v>38</v>
      </c>
    </row>
    <row r="16" spans="1:13" s="61" customFormat="1" ht="28.5" customHeight="1">
      <c r="A16" s="57" t="s">
        <v>124</v>
      </c>
      <c r="B16" s="58" t="s">
        <v>42</v>
      </c>
      <c r="C16" s="25"/>
      <c r="D16" s="25"/>
      <c r="E16" s="25"/>
      <c r="F16" s="25"/>
      <c r="G16" s="25"/>
      <c r="H16" s="25"/>
      <c r="I16" s="19">
        <f t="shared" si="0"/>
        <v>0</v>
      </c>
      <c r="J16" s="19">
        <f t="shared" si="2"/>
        <v>0</v>
      </c>
      <c r="K16" s="27">
        <f t="shared" si="3"/>
        <v>0</v>
      </c>
      <c r="L16" s="19">
        <f t="shared" si="4"/>
        <v>0</v>
      </c>
      <c r="M16" s="67"/>
    </row>
    <row r="17" spans="1:13" s="61" customFormat="1" ht="33" customHeight="1">
      <c r="A17" s="56" t="s">
        <v>43</v>
      </c>
      <c r="B17" s="55" t="s">
        <v>44</v>
      </c>
      <c r="C17" s="19">
        <f aca="true" t="shared" si="7" ref="C17:H17">C18+C21+C23+C24+C25+C26+C32</f>
        <v>189584.20000000004</v>
      </c>
      <c r="D17" s="19">
        <f t="shared" si="7"/>
        <v>172674.69</v>
      </c>
      <c r="E17" s="19">
        <f t="shared" si="7"/>
        <v>152197.4</v>
      </c>
      <c r="F17" s="19">
        <f t="shared" si="7"/>
        <v>167482.87</v>
      </c>
      <c r="G17" s="19">
        <f t="shared" si="7"/>
        <v>152800.94</v>
      </c>
      <c r="H17" s="19">
        <f t="shared" si="7"/>
        <v>178506.21000000002</v>
      </c>
      <c r="I17" s="19">
        <f t="shared" si="0"/>
        <v>24081.22999999998</v>
      </c>
      <c r="J17" s="19">
        <f t="shared" si="2"/>
        <v>164860.85</v>
      </c>
      <c r="K17" s="27">
        <f t="shared" si="3"/>
        <v>8027.08</v>
      </c>
      <c r="L17" s="19">
        <f t="shared" si="4"/>
        <v>172887.92</v>
      </c>
      <c r="M17" s="65"/>
    </row>
    <row r="18" spans="1:13" s="61" customFormat="1" ht="28.5" customHeight="1">
      <c r="A18" s="57" t="s">
        <v>125</v>
      </c>
      <c r="B18" s="58" t="s">
        <v>46</v>
      </c>
      <c r="C18" s="25">
        <f aca="true" t="shared" si="8" ref="C18:H18">C19+C20</f>
        <v>62198.4</v>
      </c>
      <c r="D18" s="25">
        <f t="shared" si="8"/>
        <v>83782.4</v>
      </c>
      <c r="E18" s="25">
        <f t="shared" si="8"/>
        <v>51472.8</v>
      </c>
      <c r="F18" s="25">
        <f t="shared" si="8"/>
        <v>72096.6</v>
      </c>
      <c r="G18" s="25">
        <f t="shared" si="8"/>
        <v>59731.2</v>
      </c>
      <c r="H18" s="25">
        <f t="shared" si="8"/>
        <v>80736.8</v>
      </c>
      <c r="I18" s="25">
        <f t="shared" si="0"/>
        <v>63213.40000000001</v>
      </c>
      <c r="J18" s="25">
        <f t="shared" si="2"/>
        <v>57800.8</v>
      </c>
      <c r="K18" s="43">
        <f t="shared" si="3"/>
        <v>21071.13</v>
      </c>
      <c r="L18" s="25">
        <f t="shared" si="4"/>
        <v>78871.93</v>
      </c>
      <c r="M18" s="24" t="s">
        <v>47</v>
      </c>
    </row>
    <row r="19" spans="1:13" s="61" customFormat="1" ht="28.5" customHeight="1">
      <c r="A19" s="57" t="s">
        <v>126</v>
      </c>
      <c r="B19" s="58" t="s">
        <v>49</v>
      </c>
      <c r="C19" s="25">
        <f>'[1]巴运（2021）'!Q20</f>
        <v>54000</v>
      </c>
      <c r="D19" s="25">
        <f>'[1]巴运核定（2021）'!Q20</f>
        <v>74520</v>
      </c>
      <c r="E19" s="25">
        <f>'[1]巴运 (2020)'!Q19</f>
        <v>45000</v>
      </c>
      <c r="F19" s="25">
        <f>'[1]巴运 核定(2020)'!Q19</f>
        <v>63503</v>
      </c>
      <c r="G19" s="25">
        <f>'[1]巴运 (2019)'!Q13</f>
        <v>54000</v>
      </c>
      <c r="H19" s="25">
        <f>'[1]巴运核定 (2019)'!Q13</f>
        <v>71640</v>
      </c>
      <c r="I19" s="25">
        <f t="shared" si="0"/>
        <v>56663</v>
      </c>
      <c r="J19" s="25">
        <f t="shared" si="2"/>
        <v>51000</v>
      </c>
      <c r="K19" s="43">
        <f t="shared" si="3"/>
        <v>18887.67</v>
      </c>
      <c r="L19" s="25">
        <f t="shared" si="4"/>
        <v>69887.67</v>
      </c>
      <c r="M19" s="64"/>
    </row>
    <row r="20" spans="1:13" s="61" customFormat="1" ht="31.5" customHeight="1">
      <c r="A20" s="57" t="s">
        <v>127</v>
      </c>
      <c r="B20" s="58" t="s">
        <v>52</v>
      </c>
      <c r="C20" s="25">
        <f>'[1]巴运（2021）'!R20</f>
        <v>8198.4</v>
      </c>
      <c r="D20" s="25">
        <f>'[1]巴运核定（2021）'!S20+'[1]巴运核定（2021）'!T20</f>
        <v>9262.4</v>
      </c>
      <c r="E20" s="25">
        <f>'[1]巴运 (2020)'!R19</f>
        <v>6472.8</v>
      </c>
      <c r="F20" s="25">
        <f>'[1]巴运 核定(2020)'!S19+'[1]巴运 核定(2020)'!T19</f>
        <v>8593.6</v>
      </c>
      <c r="G20" s="25">
        <f>'[1]巴运 (2019)'!R13</f>
        <v>5731.2</v>
      </c>
      <c r="H20" s="25">
        <f>'[1]巴运核定 (2019)'!S13+'[1]巴运核定 (2019)'!T13+'[1]巴运核定 (2019)'!T13</f>
        <v>9096.8</v>
      </c>
      <c r="I20" s="25">
        <f t="shared" si="0"/>
        <v>6550.399999999999</v>
      </c>
      <c r="J20" s="25">
        <f t="shared" si="2"/>
        <v>6800.8</v>
      </c>
      <c r="K20" s="43">
        <f t="shared" si="3"/>
        <v>2183.47</v>
      </c>
      <c r="L20" s="25">
        <f t="shared" si="4"/>
        <v>8984.27</v>
      </c>
      <c r="M20" s="68" t="s">
        <v>128</v>
      </c>
    </row>
    <row r="21" spans="1:13" s="61" customFormat="1" ht="31.5" customHeight="1">
      <c r="A21" s="58" t="s">
        <v>129</v>
      </c>
      <c r="B21" s="58" t="s">
        <v>55</v>
      </c>
      <c r="C21" s="25">
        <f>'[1]巴运（2021）'!O20</f>
        <v>18529.4</v>
      </c>
      <c r="D21" s="25">
        <f>'[7]巴运核定（2021）'!O20</f>
        <v>9624.46</v>
      </c>
      <c r="E21" s="25">
        <f>'[1]巴运 (2020)'!O19</f>
        <v>18678.45</v>
      </c>
      <c r="F21" s="25">
        <f>'[7]巴运 核定(2020)'!O19</f>
        <v>9769.2</v>
      </c>
      <c r="G21" s="25">
        <f>'[1]巴运 (2019)'!O13</f>
        <v>17551.61</v>
      </c>
      <c r="H21" s="25">
        <f>'[7]巴运核定 (2019)'!O13</f>
        <v>9218.93</v>
      </c>
      <c r="I21" s="25">
        <f t="shared" si="0"/>
        <v>-26146.870000000003</v>
      </c>
      <c r="J21" s="25">
        <f t="shared" si="2"/>
        <v>18253.15</v>
      </c>
      <c r="K21" s="43">
        <f t="shared" si="3"/>
        <v>-8715.62</v>
      </c>
      <c r="L21" s="25">
        <f t="shared" si="4"/>
        <v>9537.53</v>
      </c>
      <c r="M21" s="68" t="s">
        <v>130</v>
      </c>
    </row>
    <row r="22" spans="1:13" s="61" customFormat="1" ht="27" customHeight="1">
      <c r="A22" s="58" t="s">
        <v>131</v>
      </c>
      <c r="B22" s="58" t="s">
        <v>58</v>
      </c>
      <c r="C22" s="25">
        <v>7</v>
      </c>
      <c r="D22" s="25">
        <f>'[7]巴运核定（2021）'!L20</f>
        <v>13.57</v>
      </c>
      <c r="E22" s="25">
        <v>7</v>
      </c>
      <c r="F22" s="25">
        <f>'[7]巴运 核定(2020)'!L19</f>
        <v>13.46</v>
      </c>
      <c r="G22" s="25">
        <v>7</v>
      </c>
      <c r="H22" s="25">
        <f>'[7]巴运核定 (2019)'!L13</f>
        <v>13.57</v>
      </c>
      <c r="I22" s="25">
        <f t="shared" si="0"/>
        <v>19.6</v>
      </c>
      <c r="J22" s="25">
        <f t="shared" si="2"/>
        <v>7</v>
      </c>
      <c r="K22" s="43">
        <f t="shared" si="3"/>
        <v>6.53</v>
      </c>
      <c r="L22" s="25">
        <f t="shared" si="4"/>
        <v>13.53</v>
      </c>
      <c r="M22" s="26" t="s">
        <v>59</v>
      </c>
    </row>
    <row r="23" spans="1:13" s="61" customFormat="1" ht="27" customHeight="1">
      <c r="A23" s="57" t="s">
        <v>132</v>
      </c>
      <c r="B23" s="58" t="s">
        <v>61</v>
      </c>
      <c r="C23" s="25">
        <f>'[1]巴运（2021）'!S20</f>
        <v>11254.85</v>
      </c>
      <c r="D23" s="25">
        <f>'[1]巴运核定（2021）'!U20</f>
        <v>11254.85</v>
      </c>
      <c r="E23" s="25">
        <f>'[1]巴运 (2020)'!S19</f>
        <v>11154.07</v>
      </c>
      <c r="F23" s="25">
        <f>'[1]巴运 核定(2020)'!U19</f>
        <v>11154.07</v>
      </c>
      <c r="G23" s="25">
        <f>'[1]巴运 (2019)'!S13</f>
        <v>10774.42</v>
      </c>
      <c r="H23" s="25">
        <f>'[1]巴运核定 (2019)'!U13</f>
        <v>10774.42</v>
      </c>
      <c r="I23" s="25">
        <f t="shared" si="0"/>
        <v>0</v>
      </c>
      <c r="J23" s="25">
        <f t="shared" si="2"/>
        <v>11061.11</v>
      </c>
      <c r="K23" s="43">
        <f t="shared" si="3"/>
        <v>0</v>
      </c>
      <c r="L23" s="25">
        <f t="shared" si="4"/>
        <v>11061.11</v>
      </c>
      <c r="M23" s="68" t="s">
        <v>38</v>
      </c>
    </row>
    <row r="24" spans="1:13" s="61" customFormat="1" ht="36.75" customHeight="1">
      <c r="A24" s="57" t="s">
        <v>133</v>
      </c>
      <c r="B24" s="58" t="s">
        <v>63</v>
      </c>
      <c r="C24" s="25">
        <f>'[1]巴运（2021）'!T20</f>
        <v>80853.12</v>
      </c>
      <c r="D24" s="25">
        <f>'[1]巴运核定（2021）'!V20</f>
        <v>53722.41</v>
      </c>
      <c r="E24" s="25">
        <f>'[1]巴运 (2020)'!T19</f>
        <v>54139.46</v>
      </c>
      <c r="F24" s="25">
        <f>'[1]巴运 核定(2020)'!V19</f>
        <v>60126.53</v>
      </c>
      <c r="G24" s="25">
        <f>'[1]巴运 (2019)'!T13</f>
        <v>48067.43</v>
      </c>
      <c r="H24" s="25">
        <f>'[1]巴运核定 (2019)'!V13</f>
        <v>63839.06</v>
      </c>
      <c r="I24" s="25">
        <f t="shared" si="0"/>
        <v>-5372.009999999995</v>
      </c>
      <c r="J24" s="25">
        <f t="shared" si="2"/>
        <v>61020</v>
      </c>
      <c r="K24" s="43">
        <f t="shared" si="3"/>
        <v>-1790.67</v>
      </c>
      <c r="L24" s="25">
        <f t="shared" si="4"/>
        <v>59229.33</v>
      </c>
      <c r="M24" s="69" t="s">
        <v>134</v>
      </c>
    </row>
    <row r="25" spans="1:13" s="61" customFormat="1" ht="39" customHeight="1">
      <c r="A25" s="57" t="s">
        <v>135</v>
      </c>
      <c r="B25" s="58" t="s">
        <v>66</v>
      </c>
      <c r="C25" s="25">
        <f>'[1]巴运（2021）'!Y20+'[1]巴运（2021）'!X20</f>
        <v>12047.14</v>
      </c>
      <c r="D25" s="25">
        <f>'[1]巴运核定（2021）'!AA20+'[1]巴运核定（2021）'!Z20</f>
        <v>9589.28</v>
      </c>
      <c r="E25" s="25">
        <f>'[1]巴运 (2020)'!X19+'[1]巴运 (2020)'!Y19</f>
        <v>12050.77</v>
      </c>
      <c r="F25" s="25">
        <f>'[1]巴运 核定(2020)'!Z19+'[1]巴运 核定(2020)'!AA19</f>
        <v>9634.619999999999</v>
      </c>
      <c r="G25" s="25">
        <f>'[1]巴运 (2019)'!X13+'[1]巴运 (2019)'!Y13</f>
        <v>11962.849999999999</v>
      </c>
      <c r="H25" s="25">
        <f>'[1]巴运核定 (2019)'!Z13+'[1]巴运核定 (2019)'!AA13</f>
        <v>9223.57</v>
      </c>
      <c r="I25" s="25">
        <f t="shared" si="0"/>
        <v>-7613.289999999999</v>
      </c>
      <c r="J25" s="25">
        <f t="shared" si="2"/>
        <v>12020.25</v>
      </c>
      <c r="K25" s="43">
        <f t="shared" si="3"/>
        <v>-2537.76</v>
      </c>
      <c r="L25" s="25">
        <f t="shared" si="4"/>
        <v>9482.49</v>
      </c>
      <c r="M25" s="68" t="s">
        <v>136</v>
      </c>
    </row>
    <row r="26" spans="1:13" s="61" customFormat="1" ht="30" customHeight="1">
      <c r="A26" s="57" t="s">
        <v>137</v>
      </c>
      <c r="B26" s="58" t="s">
        <v>69</v>
      </c>
      <c r="C26" s="25">
        <f aca="true" t="shared" si="9" ref="C26:H26">SUM(C27:C31)</f>
        <v>4701.29</v>
      </c>
      <c r="D26" s="25">
        <f t="shared" si="9"/>
        <v>4701.29</v>
      </c>
      <c r="E26" s="25">
        <f t="shared" si="9"/>
        <v>4701.85</v>
      </c>
      <c r="F26" s="25">
        <f t="shared" si="9"/>
        <v>4701.85</v>
      </c>
      <c r="G26" s="25">
        <f t="shared" si="9"/>
        <v>4713.43</v>
      </c>
      <c r="H26" s="25">
        <f t="shared" si="9"/>
        <v>4713.43</v>
      </c>
      <c r="I26" s="25">
        <f t="shared" si="0"/>
        <v>0</v>
      </c>
      <c r="J26" s="25">
        <f t="shared" si="2"/>
        <v>4705.52</v>
      </c>
      <c r="K26" s="43">
        <f t="shared" si="3"/>
        <v>0</v>
      </c>
      <c r="L26" s="25">
        <f t="shared" si="4"/>
        <v>4705.52</v>
      </c>
      <c r="M26" s="68" t="s">
        <v>38</v>
      </c>
    </row>
    <row r="27" spans="1:13" s="61" customFormat="1" ht="30" customHeight="1">
      <c r="A27" s="57" t="s">
        <v>138</v>
      </c>
      <c r="B27" s="58" t="s">
        <v>71</v>
      </c>
      <c r="C27" s="25"/>
      <c r="D27" s="25"/>
      <c r="E27" s="25"/>
      <c r="F27" s="25"/>
      <c r="G27" s="25"/>
      <c r="H27" s="25"/>
      <c r="I27" s="25">
        <f t="shared" si="0"/>
        <v>0</v>
      </c>
      <c r="J27" s="25">
        <f t="shared" si="2"/>
        <v>0</v>
      </c>
      <c r="K27" s="43">
        <f t="shared" si="3"/>
        <v>0</v>
      </c>
      <c r="L27" s="25">
        <f t="shared" si="4"/>
        <v>0</v>
      </c>
      <c r="M27" s="70"/>
    </row>
    <row r="28" spans="1:13" s="61" customFormat="1" ht="30" customHeight="1">
      <c r="A28" s="57" t="s">
        <v>139</v>
      </c>
      <c r="B28" s="58" t="s">
        <v>73</v>
      </c>
      <c r="C28" s="25"/>
      <c r="D28" s="25"/>
      <c r="E28" s="25"/>
      <c r="F28" s="25"/>
      <c r="G28" s="25"/>
      <c r="H28" s="25"/>
      <c r="I28" s="25">
        <f t="shared" si="0"/>
        <v>0</v>
      </c>
      <c r="J28" s="25">
        <f t="shared" si="2"/>
        <v>0</v>
      </c>
      <c r="K28" s="43">
        <f t="shared" si="3"/>
        <v>0</v>
      </c>
      <c r="L28" s="25">
        <f t="shared" si="4"/>
        <v>0</v>
      </c>
      <c r="M28" s="70"/>
    </row>
    <row r="29" spans="1:13" s="61" customFormat="1" ht="30" customHeight="1">
      <c r="A29" s="57" t="s">
        <v>140</v>
      </c>
      <c r="B29" s="58" t="s">
        <v>75</v>
      </c>
      <c r="C29" s="25">
        <f>'[1]巴运（2021）'!U20</f>
        <v>360</v>
      </c>
      <c r="D29" s="25">
        <f>'[1]巴运核定（2021）'!W20</f>
        <v>360</v>
      </c>
      <c r="E29" s="25">
        <f>'[1]巴运 (2020)'!U19</f>
        <v>360</v>
      </c>
      <c r="F29" s="25">
        <f>'[1]巴运 核定(2020)'!W19</f>
        <v>360</v>
      </c>
      <c r="G29" s="25">
        <f>'[1]巴运 (2019)'!U13</f>
        <v>360</v>
      </c>
      <c r="H29" s="25">
        <f>'[1]巴运核定 (2019)'!W13</f>
        <v>360</v>
      </c>
      <c r="I29" s="25">
        <f t="shared" si="0"/>
        <v>0</v>
      </c>
      <c r="J29" s="25">
        <f t="shared" si="2"/>
        <v>360</v>
      </c>
      <c r="K29" s="43">
        <f t="shared" si="3"/>
        <v>0</v>
      </c>
      <c r="L29" s="25">
        <f t="shared" si="4"/>
        <v>360</v>
      </c>
      <c r="M29" s="70"/>
    </row>
    <row r="30" spans="1:13" s="61" customFormat="1" ht="30" customHeight="1">
      <c r="A30" s="57" t="s">
        <v>141</v>
      </c>
      <c r="B30" s="58" t="s">
        <v>77</v>
      </c>
      <c r="C30" s="25">
        <f>'[1]巴运（2021）'!Z20</f>
        <v>960</v>
      </c>
      <c r="D30" s="25">
        <f>'[1]巴运核定（2021）'!AB20</f>
        <v>960</v>
      </c>
      <c r="E30" s="25">
        <f>'[1]巴运 (2020)'!Z19</f>
        <v>960</v>
      </c>
      <c r="F30" s="25">
        <f>'[1]巴运 核定(2020)'!AB19</f>
        <v>960</v>
      </c>
      <c r="G30" s="25">
        <f>'[1]巴运 (2019)'!Z13</f>
        <v>960</v>
      </c>
      <c r="H30" s="25">
        <f>'[1]巴运核定 (2019)'!AB13</f>
        <v>960</v>
      </c>
      <c r="I30" s="25">
        <f t="shared" si="0"/>
        <v>0</v>
      </c>
      <c r="J30" s="25">
        <f t="shared" si="2"/>
        <v>960</v>
      </c>
      <c r="K30" s="43">
        <f t="shared" si="3"/>
        <v>0</v>
      </c>
      <c r="L30" s="25">
        <f t="shared" si="4"/>
        <v>960</v>
      </c>
      <c r="M30" s="70"/>
    </row>
    <row r="31" spans="1:13" s="61" customFormat="1" ht="30" customHeight="1">
      <c r="A31" s="57" t="s">
        <v>142</v>
      </c>
      <c r="B31" s="58" t="s">
        <v>79</v>
      </c>
      <c r="C31" s="25">
        <f>'[1]巴运（2021）'!V20+'[1]巴运（2021）'!W20+'[1]巴运（2021）'!AA20</f>
        <v>3381.29</v>
      </c>
      <c r="D31" s="25">
        <f>'[1]巴运核定（2021）'!X20+'[1]巴运核定（2021）'!Y20+'[1]巴运核定（2021）'!AC20</f>
        <v>3381.29</v>
      </c>
      <c r="E31" s="25">
        <f>'[1]巴运 (2020)'!V19+'[1]巴运 (2020)'!W19+'[1]巴运 (2020)'!AA19</f>
        <v>3381.85</v>
      </c>
      <c r="F31" s="25">
        <f>'[1]巴运 核定(2020)'!X19+'[1]巴运 核定(2020)'!Y19+'[1]巴运 核定(2020)'!AC19</f>
        <v>3381.85</v>
      </c>
      <c r="G31" s="25">
        <f>'[1]巴运 (2019)'!V13+'[1]巴运 (2019)'!W13+'[1]巴运 (2019)'!AA13</f>
        <v>3393.43</v>
      </c>
      <c r="H31" s="25">
        <f>'[1]巴运核定 (2019)'!X13+'[1]巴运核定 (2019)'!Y13+'[1]巴运核定 (2019)'!AC13</f>
        <v>3393.43</v>
      </c>
      <c r="I31" s="25">
        <f t="shared" si="0"/>
        <v>0</v>
      </c>
      <c r="J31" s="25">
        <f t="shared" si="2"/>
        <v>3385.52</v>
      </c>
      <c r="K31" s="43">
        <f t="shared" si="3"/>
        <v>0</v>
      </c>
      <c r="L31" s="25">
        <f t="shared" si="4"/>
        <v>3385.52</v>
      </c>
      <c r="M31" s="70"/>
    </row>
    <row r="32" spans="1:13" s="61" customFormat="1" ht="30" customHeight="1">
      <c r="A32" s="57" t="s">
        <v>143</v>
      </c>
      <c r="B32" s="58" t="s">
        <v>81</v>
      </c>
      <c r="C32" s="25"/>
      <c r="D32" s="25"/>
      <c r="E32" s="25"/>
      <c r="F32" s="25"/>
      <c r="G32" s="25"/>
      <c r="H32" s="25"/>
      <c r="I32" s="19">
        <f t="shared" si="0"/>
        <v>0</v>
      </c>
      <c r="J32" s="19">
        <f t="shared" si="2"/>
        <v>0</v>
      </c>
      <c r="K32" s="27">
        <f t="shared" si="3"/>
        <v>0</v>
      </c>
      <c r="L32" s="19">
        <f t="shared" si="4"/>
        <v>0</v>
      </c>
      <c r="M32" s="70"/>
    </row>
    <row r="33" spans="1:13" s="61" customFormat="1" ht="30" customHeight="1">
      <c r="A33" s="56" t="s">
        <v>82</v>
      </c>
      <c r="B33" s="55" t="s">
        <v>83</v>
      </c>
      <c r="C33" s="19">
        <f aca="true" t="shared" si="10" ref="C33:H33">SUM(C34:C38)</f>
        <v>12342.84</v>
      </c>
      <c r="D33" s="19">
        <f t="shared" si="10"/>
        <v>13833.24</v>
      </c>
      <c r="E33" s="19">
        <f t="shared" si="10"/>
        <v>10230.77</v>
      </c>
      <c r="F33" s="19">
        <f t="shared" si="10"/>
        <v>11500.83</v>
      </c>
      <c r="G33" s="19">
        <f t="shared" si="10"/>
        <v>12171.43</v>
      </c>
      <c r="H33" s="19">
        <f t="shared" si="10"/>
        <v>13604.23</v>
      </c>
      <c r="I33" s="19">
        <f t="shared" si="0"/>
        <v>4193.259999999998</v>
      </c>
      <c r="J33" s="19">
        <f t="shared" si="2"/>
        <v>11581.68</v>
      </c>
      <c r="K33" s="27">
        <f t="shared" si="3"/>
        <v>1397.75</v>
      </c>
      <c r="L33" s="19">
        <f t="shared" si="4"/>
        <v>12979.43</v>
      </c>
      <c r="M33" s="63" t="s">
        <v>38</v>
      </c>
    </row>
    <row r="34" spans="1:13" s="61" customFormat="1" ht="30" customHeight="1">
      <c r="A34" s="57" t="s">
        <v>144</v>
      </c>
      <c r="B34" s="58" t="s">
        <v>85</v>
      </c>
      <c r="C34" s="25"/>
      <c r="D34" s="25"/>
      <c r="E34" s="25"/>
      <c r="F34" s="25"/>
      <c r="G34" s="25"/>
      <c r="H34" s="25"/>
      <c r="I34" s="25">
        <f t="shared" si="0"/>
        <v>0</v>
      </c>
      <c r="J34" s="25">
        <f t="shared" si="2"/>
        <v>0</v>
      </c>
      <c r="K34" s="43">
        <f t="shared" si="3"/>
        <v>0</v>
      </c>
      <c r="L34" s="25">
        <f t="shared" si="4"/>
        <v>0</v>
      </c>
      <c r="M34" s="71"/>
    </row>
    <row r="35" spans="1:13" s="61" customFormat="1" ht="30" customHeight="1">
      <c r="A35" s="59" t="s">
        <v>145</v>
      </c>
      <c r="B35" s="58" t="s">
        <v>87</v>
      </c>
      <c r="C35" s="25">
        <f>'[1]巴运（2021）'!P20</f>
        <v>12342.84</v>
      </c>
      <c r="D35" s="25">
        <f>'[1]巴运核定（2021）'!P20</f>
        <v>12342.84</v>
      </c>
      <c r="E35" s="25">
        <f>'[1]巴运 (2020)'!P19</f>
        <v>10230.77</v>
      </c>
      <c r="F35" s="25">
        <f>'[1]巴运 核定(2020)'!P19</f>
        <v>10230.77</v>
      </c>
      <c r="G35" s="25">
        <f>'[1]巴运 (2019)'!P13</f>
        <v>12171.43</v>
      </c>
      <c r="H35" s="25">
        <f>'[1]巴运核定 (2019)'!P13</f>
        <v>12171.43</v>
      </c>
      <c r="I35" s="25">
        <f t="shared" si="0"/>
        <v>0</v>
      </c>
      <c r="J35" s="25">
        <f t="shared" si="2"/>
        <v>11581.68</v>
      </c>
      <c r="K35" s="43">
        <f t="shared" si="3"/>
        <v>0</v>
      </c>
      <c r="L35" s="25">
        <f t="shared" si="4"/>
        <v>11581.68</v>
      </c>
      <c r="M35" s="72" t="s">
        <v>38</v>
      </c>
    </row>
    <row r="36" spans="1:13" s="61" customFormat="1" ht="30" customHeight="1">
      <c r="A36" s="57" t="s">
        <v>146</v>
      </c>
      <c r="B36" s="58" t="s">
        <v>89</v>
      </c>
      <c r="C36" s="25"/>
      <c r="D36" s="25"/>
      <c r="E36" s="25"/>
      <c r="F36" s="25"/>
      <c r="G36" s="25"/>
      <c r="H36" s="25"/>
      <c r="I36" s="25">
        <f t="shared" si="0"/>
        <v>0</v>
      </c>
      <c r="J36" s="25">
        <f t="shared" si="2"/>
        <v>0</v>
      </c>
      <c r="K36" s="43">
        <f t="shared" si="3"/>
        <v>0</v>
      </c>
      <c r="L36" s="25">
        <f t="shared" si="4"/>
        <v>0</v>
      </c>
      <c r="M36" s="71"/>
    </row>
    <row r="37" spans="1:13" s="61" customFormat="1" ht="30" customHeight="1">
      <c r="A37" s="57" t="s">
        <v>147</v>
      </c>
      <c r="B37" s="58" t="s">
        <v>91</v>
      </c>
      <c r="C37" s="25"/>
      <c r="D37" s="25">
        <f>'[1]巴运核定（2021）'!R20</f>
        <v>1490.4</v>
      </c>
      <c r="E37" s="25"/>
      <c r="F37" s="25">
        <f>'[1]巴运 核定(2020)'!R19</f>
        <v>1270.06</v>
      </c>
      <c r="G37" s="25"/>
      <c r="H37" s="25">
        <f>'[1]巴运核定 (2019)'!R13</f>
        <v>1432.8</v>
      </c>
      <c r="I37" s="25">
        <f t="shared" si="0"/>
        <v>4193.26</v>
      </c>
      <c r="J37" s="25">
        <f t="shared" si="2"/>
        <v>0</v>
      </c>
      <c r="K37" s="43">
        <f t="shared" si="3"/>
        <v>1397.75</v>
      </c>
      <c r="L37" s="25">
        <f t="shared" si="4"/>
        <v>1397.75</v>
      </c>
      <c r="M37" s="71"/>
    </row>
    <row r="38" spans="1:13" s="61" customFormat="1" ht="30" customHeight="1">
      <c r="A38" s="57" t="s">
        <v>148</v>
      </c>
      <c r="B38" s="58" t="s">
        <v>93</v>
      </c>
      <c r="C38" s="25"/>
      <c r="D38" s="25"/>
      <c r="E38" s="25"/>
      <c r="F38" s="25"/>
      <c r="G38" s="25"/>
      <c r="H38" s="25"/>
      <c r="I38" s="19">
        <f t="shared" si="0"/>
        <v>0</v>
      </c>
      <c r="J38" s="19">
        <f t="shared" si="2"/>
        <v>0</v>
      </c>
      <c r="K38" s="27">
        <f t="shared" si="3"/>
        <v>0</v>
      </c>
      <c r="L38" s="19">
        <f t="shared" si="4"/>
        <v>0</v>
      </c>
      <c r="M38" s="70"/>
    </row>
    <row r="39" spans="1:13" s="61" customFormat="1" ht="30" customHeight="1">
      <c r="A39" s="56" t="s">
        <v>94</v>
      </c>
      <c r="B39" s="55" t="s">
        <v>95</v>
      </c>
      <c r="C39" s="19"/>
      <c r="D39" s="19"/>
      <c r="E39" s="19"/>
      <c r="F39" s="19"/>
      <c r="G39" s="19"/>
      <c r="H39" s="19"/>
      <c r="I39" s="19">
        <f t="shared" si="0"/>
        <v>0</v>
      </c>
      <c r="J39" s="19">
        <f t="shared" si="2"/>
        <v>0</v>
      </c>
      <c r="K39" s="27">
        <f t="shared" si="3"/>
        <v>0</v>
      </c>
      <c r="L39" s="19">
        <f t="shared" si="4"/>
        <v>0</v>
      </c>
      <c r="M39" s="70"/>
    </row>
    <row r="40" spans="1:13" s="61" customFormat="1" ht="30" customHeight="1">
      <c r="A40" s="56" t="s">
        <v>96</v>
      </c>
      <c r="B40" s="55" t="s">
        <v>97</v>
      </c>
      <c r="C40" s="19">
        <f aca="true" t="shared" si="11" ref="C40:H40">C17+C33+C39</f>
        <v>201927.04000000004</v>
      </c>
      <c r="D40" s="19">
        <f t="shared" si="11"/>
        <v>186507.93</v>
      </c>
      <c r="E40" s="19">
        <f t="shared" si="11"/>
        <v>162428.16999999998</v>
      </c>
      <c r="F40" s="19">
        <f t="shared" si="11"/>
        <v>178983.69999999998</v>
      </c>
      <c r="G40" s="19">
        <f t="shared" si="11"/>
        <v>164972.37</v>
      </c>
      <c r="H40" s="19">
        <f t="shared" si="11"/>
        <v>192110.44000000003</v>
      </c>
      <c r="I40" s="19">
        <f t="shared" si="0"/>
        <v>28274.48999999999</v>
      </c>
      <c r="J40" s="19">
        <f t="shared" si="2"/>
        <v>176442.53</v>
      </c>
      <c r="K40" s="27">
        <f t="shared" si="3"/>
        <v>9424.83</v>
      </c>
      <c r="L40" s="19">
        <f t="shared" si="4"/>
        <v>185867.36</v>
      </c>
      <c r="M40" s="63" t="s">
        <v>149</v>
      </c>
    </row>
    <row r="41" spans="1:13" s="61" customFormat="1" ht="30" customHeight="1">
      <c r="A41" s="56" t="s">
        <v>99</v>
      </c>
      <c r="B41" s="55" t="s">
        <v>100</v>
      </c>
      <c r="C41" s="19">
        <f aca="true" t="shared" si="12" ref="C41:H41">C40-C13</f>
        <v>192751.61000000004</v>
      </c>
      <c r="D41" s="19">
        <f t="shared" si="12"/>
        <v>180472.11</v>
      </c>
      <c r="E41" s="19">
        <f t="shared" si="12"/>
        <v>162428.16999999998</v>
      </c>
      <c r="F41" s="19">
        <f t="shared" si="12"/>
        <v>173238.08</v>
      </c>
      <c r="G41" s="19">
        <f t="shared" si="12"/>
        <v>164972.37</v>
      </c>
      <c r="H41" s="19">
        <f t="shared" si="12"/>
        <v>186405.30000000002</v>
      </c>
      <c r="I41" s="19">
        <f t="shared" si="0"/>
        <v>19963.339999999967</v>
      </c>
      <c r="J41" s="19">
        <f t="shared" si="2"/>
        <v>173384.05</v>
      </c>
      <c r="K41" s="27">
        <f t="shared" si="3"/>
        <v>6654.45</v>
      </c>
      <c r="L41" s="19">
        <f t="shared" si="4"/>
        <v>180038.5</v>
      </c>
      <c r="M41" s="55"/>
    </row>
    <row r="42" spans="1:13" s="61" customFormat="1" ht="30" customHeight="1">
      <c r="A42" s="56" t="s">
        <v>150</v>
      </c>
      <c r="B42" s="55" t="s">
        <v>102</v>
      </c>
      <c r="C42" s="18">
        <f>'[1]巴运（2021）'!AC20</f>
        <v>9096</v>
      </c>
      <c r="D42" s="18">
        <f>'[1]巴运核定（2021）'!AE20</f>
        <v>9096</v>
      </c>
      <c r="E42" s="18">
        <f>'[1]巴运 (2020)'!AC19</f>
        <v>7756</v>
      </c>
      <c r="F42" s="18">
        <f>'[1]巴运 核定(2020)'!AE19</f>
        <v>9575.54</v>
      </c>
      <c r="G42" s="18">
        <f>'[1]巴运 (2019)'!AC13</f>
        <v>6439.68</v>
      </c>
      <c r="H42" s="18">
        <f>'[1]巴运核定 (2019)'!AE13</f>
        <v>9684.48</v>
      </c>
      <c r="I42" s="19">
        <f t="shared" si="0"/>
        <v>5064.34</v>
      </c>
      <c r="J42" s="19">
        <f t="shared" si="2"/>
        <v>7763.89</v>
      </c>
      <c r="K42" s="27">
        <f t="shared" si="3"/>
        <v>1688.11</v>
      </c>
      <c r="L42" s="19">
        <f t="shared" si="4"/>
        <v>9452.01</v>
      </c>
      <c r="M42" s="54" t="s">
        <v>151</v>
      </c>
    </row>
    <row r="43" spans="1:13" s="61" customFormat="1" ht="31.5" customHeight="1">
      <c r="A43" s="56" t="s">
        <v>152</v>
      </c>
      <c r="B43" s="55" t="s">
        <v>105</v>
      </c>
      <c r="C43" s="19">
        <f aca="true" t="shared" si="13" ref="C43:H43">C41/C42</f>
        <v>21.1908102462621</v>
      </c>
      <c r="D43" s="19">
        <f t="shared" si="13"/>
        <v>19.84082124010554</v>
      </c>
      <c r="E43" s="19">
        <f t="shared" si="13"/>
        <v>20.94226018566271</v>
      </c>
      <c r="F43" s="19">
        <f t="shared" si="13"/>
        <v>18.091729552589197</v>
      </c>
      <c r="G43" s="19">
        <f t="shared" si="13"/>
        <v>25.618100588849135</v>
      </c>
      <c r="H43" s="19">
        <f t="shared" si="13"/>
        <v>19.247837777557496</v>
      </c>
      <c r="I43" s="19">
        <f t="shared" si="0"/>
        <v>-10.570782450521712</v>
      </c>
      <c r="J43" s="19">
        <f t="shared" si="2"/>
        <v>22.58</v>
      </c>
      <c r="K43" s="27">
        <f t="shared" si="3"/>
        <v>-3.52</v>
      </c>
      <c r="L43" s="19">
        <f t="shared" si="4"/>
        <v>19.06</v>
      </c>
      <c r="M43" s="54" t="s">
        <v>106</v>
      </c>
    </row>
    <row r="44" spans="1:13" s="61" customFormat="1" ht="34.5" customHeight="1">
      <c r="A44" s="56" t="s">
        <v>153</v>
      </c>
      <c r="B44" s="55" t="s">
        <v>108</v>
      </c>
      <c r="C44" s="19">
        <f aca="true" t="shared" si="14" ref="C44:H44">C43/C10</f>
        <v>0.5220924263571822</v>
      </c>
      <c r="D44" s="19">
        <f t="shared" si="14"/>
        <v>0.48883182765477423</v>
      </c>
      <c r="E44" s="19">
        <f t="shared" si="14"/>
        <v>0.5427106185482845</v>
      </c>
      <c r="F44" s="19">
        <f t="shared" si="14"/>
        <v>0.46351905403366667</v>
      </c>
      <c r="G44" s="19">
        <f t="shared" si="14"/>
        <v>0.5640682698462195</v>
      </c>
      <c r="H44" s="19">
        <f t="shared" si="14"/>
        <v>0.4646873161036753</v>
      </c>
      <c r="I44" s="19">
        <f t="shared" si="0"/>
        <v>-0.21183311695957002</v>
      </c>
      <c r="J44" s="19">
        <f t="shared" si="2"/>
        <v>0.54</v>
      </c>
      <c r="K44" s="27">
        <f t="shared" si="3"/>
        <v>-0.07</v>
      </c>
      <c r="L44" s="19">
        <f t="shared" si="4"/>
        <v>0.47</v>
      </c>
      <c r="M44" s="73"/>
    </row>
    <row r="45" spans="1:13" s="61" customFormat="1" ht="27.75" customHeight="1">
      <c r="A45" s="56" t="s">
        <v>109</v>
      </c>
      <c r="B45" s="55" t="s">
        <v>110</v>
      </c>
      <c r="C45" s="19">
        <f>'[1]巴运（2021）'!AE20</f>
        <v>45.79</v>
      </c>
      <c r="D45" s="19">
        <f>'[1]巴运核定（2021）'!AG20</f>
        <v>45.79</v>
      </c>
      <c r="E45" s="19">
        <f>'[1]巴运 (2020)'!AE19</f>
        <v>47.15</v>
      </c>
      <c r="F45" s="19">
        <f>'[1]巴运 核定(2020)'!AG19</f>
        <v>47.15</v>
      </c>
      <c r="G45" s="19">
        <f>'[1]巴运 (2019)'!AE13</f>
        <v>49.86</v>
      </c>
      <c r="H45" s="19">
        <f>'[1]巴运核定 (2019)'!AG13</f>
        <v>49.86</v>
      </c>
      <c r="I45" s="19">
        <f t="shared" si="0"/>
        <v>0</v>
      </c>
      <c r="J45" s="19">
        <f t="shared" si="2"/>
        <v>47.6</v>
      </c>
      <c r="K45" s="27">
        <f t="shared" si="3"/>
        <v>0</v>
      </c>
      <c r="L45" s="19">
        <f t="shared" si="4"/>
        <v>47.6</v>
      </c>
      <c r="M45" s="74"/>
    </row>
    <row r="46" s="2" customFormat="1" ht="21.75" customHeight="1"/>
    <row r="47" s="2" customFormat="1" ht="21.75" customHeight="1"/>
    <row r="50" s="2" customFormat="1" ht="13.5">
      <c r="A50" s="34"/>
    </row>
    <row r="51" spans="3:12" s="2" customFormat="1" ht="13.5">
      <c r="C51" s="35"/>
      <c r="D51" s="35"/>
      <c r="E51" s="35"/>
      <c r="F51" s="35"/>
      <c r="G51" s="35"/>
      <c r="H51" s="35"/>
      <c r="I51" s="35"/>
      <c r="J51" s="35"/>
      <c r="K51" s="35"/>
      <c r="L51" s="35"/>
    </row>
  </sheetData>
  <sheetProtection/>
  <mergeCells count="7">
    <mergeCell ref="A2:M2"/>
    <mergeCell ref="C3:D3"/>
    <mergeCell ref="E3:F3"/>
    <mergeCell ref="G3:H3"/>
    <mergeCell ref="A3:A4"/>
    <mergeCell ref="B3:B4"/>
    <mergeCell ref="M3:M4"/>
  </mergeCells>
  <printOptions/>
  <pageMargins left="0.6298611111111111" right="0.4326388888888889" top="0.7083333333333334" bottom="0.7868055555555555" header="0.5118055555555555" footer="0.3145833333333333"/>
  <pageSetup firstPageNumber="15" useFirstPageNumber="1" fitToHeight="0" fitToWidth="1" horizontalDpi="600" verticalDpi="600" orientation="landscape" paperSize="9" scale="60"/>
  <headerFooter scaleWithDoc="0" alignWithMargins="0">
    <oddFooter>&amp;C第 &amp;P 页</oddFooter>
  </headerFooter>
  <rowBreaks count="1" manualBreakCount="1">
    <brk id="2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Zeros="0" tabSelected="1" view="pageBreakPreview" zoomScaleSheetLayoutView="100" workbookViewId="0" topLeftCell="A1">
      <selection activeCell="G5" sqref="G5"/>
    </sheetView>
  </sheetViews>
  <sheetFormatPr defaultColWidth="8.75390625" defaultRowHeight="14.25"/>
  <cols>
    <col min="1" max="1" width="37.00390625" style="2" customWidth="1"/>
    <col min="2" max="2" width="16.25390625" style="2" customWidth="1"/>
    <col min="3" max="8" width="12.125" style="2" customWidth="1"/>
    <col min="9" max="12" width="14.75390625" style="2" customWidth="1"/>
    <col min="13" max="13" width="39.125" style="2" customWidth="1"/>
    <col min="14" max="14" width="8.75390625" style="2" customWidth="1"/>
    <col min="15" max="15" width="13.75390625" style="2" bestFit="1" customWidth="1"/>
    <col min="16" max="16" width="12.625" style="2" bestFit="1" customWidth="1"/>
    <col min="17" max="16384" width="8.75390625" style="2" customWidth="1"/>
  </cols>
  <sheetData>
    <row r="1" spans="1:2" s="1" customFormat="1" ht="24" customHeight="1">
      <c r="A1" s="5" t="s">
        <v>154</v>
      </c>
      <c r="B1" s="6"/>
    </row>
    <row r="2" spans="1:13" s="2" customFormat="1" ht="51" customHeight="1">
      <c r="A2" s="7" t="s">
        <v>155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3" customFormat="1" ht="42" customHeight="1">
      <c r="A3" s="51" t="s">
        <v>2</v>
      </c>
      <c r="B3" s="51" t="s">
        <v>3</v>
      </c>
      <c r="C3" s="10" t="s">
        <v>4</v>
      </c>
      <c r="D3" s="11"/>
      <c r="E3" s="10" t="s">
        <v>5</v>
      </c>
      <c r="F3" s="11"/>
      <c r="G3" s="52" t="s">
        <v>6</v>
      </c>
      <c r="H3" s="52"/>
      <c r="I3" s="41" t="s">
        <v>114</v>
      </c>
      <c r="J3" s="41" t="s">
        <v>114</v>
      </c>
      <c r="K3" s="41" t="s">
        <v>7</v>
      </c>
      <c r="L3" s="41" t="s">
        <v>114</v>
      </c>
      <c r="M3" s="13" t="s">
        <v>8</v>
      </c>
    </row>
    <row r="4" spans="1:13" s="3" customFormat="1" ht="42" customHeight="1">
      <c r="A4" s="53"/>
      <c r="B4" s="53"/>
      <c r="C4" s="15" t="s">
        <v>9</v>
      </c>
      <c r="D4" s="15" t="s">
        <v>10</v>
      </c>
      <c r="E4" s="15" t="s">
        <v>9</v>
      </c>
      <c r="F4" s="15" t="s">
        <v>10</v>
      </c>
      <c r="G4" s="45" t="s">
        <v>9</v>
      </c>
      <c r="H4" s="45" t="s">
        <v>10</v>
      </c>
      <c r="I4" s="42" t="s">
        <v>11</v>
      </c>
      <c r="J4" s="42" t="s">
        <v>12</v>
      </c>
      <c r="K4" s="45" t="s">
        <v>13</v>
      </c>
      <c r="L4" s="42" t="s">
        <v>14</v>
      </c>
      <c r="M4" s="16"/>
    </row>
    <row r="5" spans="1:13" s="4" customFormat="1" ht="33" customHeight="1">
      <c r="A5" s="54" t="s">
        <v>15</v>
      </c>
      <c r="B5" s="55" t="s">
        <v>16</v>
      </c>
      <c r="C5" s="18">
        <v>254</v>
      </c>
      <c r="D5" s="18">
        <v>254</v>
      </c>
      <c r="E5" s="18">
        <v>308</v>
      </c>
      <c r="F5" s="18">
        <v>308</v>
      </c>
      <c r="G5" s="18">
        <v>352</v>
      </c>
      <c r="H5" s="18">
        <v>352</v>
      </c>
      <c r="I5" s="19">
        <f aca="true" t="shared" si="0" ref="I5:I45">D5-C5+F5-E5+H5-G5</f>
        <v>0</v>
      </c>
      <c r="J5" s="19">
        <f>ROUND(SUM(C5,E5,G5)/3,0)</f>
        <v>305</v>
      </c>
      <c r="K5" s="27">
        <f>ROUND(I5/3,2)</f>
        <v>0</v>
      </c>
      <c r="L5" s="19">
        <f>ROUND(SUM(D5,F5,H5)/3,0)</f>
        <v>305</v>
      </c>
      <c r="M5" s="20"/>
    </row>
    <row r="6" spans="1:13" s="2" customFormat="1" ht="33" customHeight="1">
      <c r="A6" s="56" t="s">
        <v>17</v>
      </c>
      <c r="B6" s="55" t="s">
        <v>18</v>
      </c>
      <c r="C6" s="19">
        <f aca="true" t="shared" si="1" ref="C6:H6">C7</f>
        <v>56191.2</v>
      </c>
      <c r="D6" s="19">
        <f t="shared" si="1"/>
        <v>62076</v>
      </c>
      <c r="E6" s="19">
        <f t="shared" si="1"/>
        <v>50204</v>
      </c>
      <c r="F6" s="19">
        <f t="shared" si="1"/>
        <v>60079.25</v>
      </c>
      <c r="G6" s="19">
        <f t="shared" si="1"/>
        <v>55818</v>
      </c>
      <c r="H6" s="19">
        <f t="shared" si="1"/>
        <v>60732</v>
      </c>
      <c r="I6" s="19">
        <f t="shared" si="0"/>
        <v>20674.050000000003</v>
      </c>
      <c r="J6" s="19">
        <f aca="true" t="shared" si="2" ref="J6:J45">ROUND(SUM(C6,E6,G6)/3,2)</f>
        <v>54071.07</v>
      </c>
      <c r="K6" s="27">
        <f aca="true" t="shared" si="3" ref="K6:K45">ROUND(I6/3,2)</f>
        <v>6891.35</v>
      </c>
      <c r="L6" s="19">
        <f aca="true" t="shared" si="4" ref="L6:L45">ROUND(SUM(D6,F6,H6)/3,2)</f>
        <v>60962.42</v>
      </c>
      <c r="M6" s="17" t="s">
        <v>19</v>
      </c>
    </row>
    <row r="7" spans="1:13" s="2" customFormat="1" ht="33" customHeight="1">
      <c r="A7" s="57" t="s">
        <v>116</v>
      </c>
      <c r="B7" s="58" t="s">
        <v>21</v>
      </c>
      <c r="C7" s="25">
        <f>'[2]利民（2021）'!AM46</f>
        <v>56191.2</v>
      </c>
      <c r="D7" s="25">
        <f>'[2]利民待核定（2021）'!AO46</f>
        <v>62076</v>
      </c>
      <c r="E7" s="25">
        <f>'[2]利民 (2020)'!AM38</f>
        <v>50204</v>
      </c>
      <c r="F7" s="25">
        <f>'[2]利民待核定(2020)'!AO38</f>
        <v>60079.25</v>
      </c>
      <c r="G7" s="25">
        <f>'[2]利民 (2019)'!AM22</f>
        <v>55818</v>
      </c>
      <c r="H7" s="25">
        <f>'[2]利民待核定 (2019)'!AO22</f>
        <v>60732</v>
      </c>
      <c r="I7" s="25">
        <f t="shared" si="0"/>
        <v>20674.050000000003</v>
      </c>
      <c r="J7" s="25">
        <f t="shared" si="2"/>
        <v>54071.07</v>
      </c>
      <c r="K7" s="43">
        <f t="shared" si="3"/>
        <v>6891.35</v>
      </c>
      <c r="L7" s="25">
        <f t="shared" si="4"/>
        <v>60962.42</v>
      </c>
      <c r="M7" s="46"/>
    </row>
    <row r="8" spans="1:13" s="4" customFormat="1" ht="33" customHeight="1">
      <c r="A8" s="58" t="s">
        <v>117</v>
      </c>
      <c r="B8" s="58" t="s">
        <v>23</v>
      </c>
      <c r="C8" s="25">
        <v>0.55</v>
      </c>
      <c r="D8" s="25">
        <v>0.55</v>
      </c>
      <c r="E8" s="25">
        <v>0.48</v>
      </c>
      <c r="F8" s="25">
        <v>0.48</v>
      </c>
      <c r="G8" s="25">
        <v>0.51</v>
      </c>
      <c r="H8" s="25">
        <v>0.51</v>
      </c>
      <c r="I8" s="25">
        <f t="shared" si="0"/>
        <v>0</v>
      </c>
      <c r="J8" s="25">
        <f t="shared" si="2"/>
        <v>0.51</v>
      </c>
      <c r="K8" s="43">
        <f t="shared" si="3"/>
        <v>0</v>
      </c>
      <c r="L8" s="25">
        <f t="shared" si="4"/>
        <v>0.51</v>
      </c>
      <c r="M8" s="46"/>
    </row>
    <row r="9" spans="1:13" s="2" customFormat="1" ht="33" customHeight="1">
      <c r="A9" s="56" t="s">
        <v>118</v>
      </c>
      <c r="B9" s="55" t="s">
        <v>25</v>
      </c>
      <c r="C9" s="19">
        <f>'[2]利民（2021）'!AK46</f>
        <v>93.65</v>
      </c>
      <c r="D9" s="19">
        <f>'[2]利民待核定（2021）'!AM46</f>
        <v>114.8</v>
      </c>
      <c r="E9" s="19">
        <f>'[2]利民（2021）'!AK46</f>
        <v>93.65</v>
      </c>
      <c r="F9" s="19">
        <f>'[2]利民待核定(2020)'!AM38</f>
        <v>134.75</v>
      </c>
      <c r="G9" s="19">
        <f>'[2]利民 (2019)'!AK22</f>
        <v>91</v>
      </c>
      <c r="H9" s="19">
        <f>'[2]利民待核定 (2019)'!AM22</f>
        <v>101.5</v>
      </c>
      <c r="I9" s="19">
        <f t="shared" si="0"/>
        <v>72.74999999999997</v>
      </c>
      <c r="J9" s="19">
        <f t="shared" si="2"/>
        <v>92.77</v>
      </c>
      <c r="K9" s="27">
        <f t="shared" si="3"/>
        <v>24.25</v>
      </c>
      <c r="L9" s="19">
        <f t="shared" si="4"/>
        <v>117.02</v>
      </c>
      <c r="M9" s="47"/>
    </row>
    <row r="10" spans="1:13" s="2" customFormat="1" ht="33" customHeight="1">
      <c r="A10" s="56" t="s">
        <v>119</v>
      </c>
      <c r="B10" s="55" t="s">
        <v>27</v>
      </c>
      <c r="C10" s="19">
        <f aca="true" t="shared" si="5" ref="C10:H10">C6/C9/12</f>
        <v>50.00106780565937</v>
      </c>
      <c r="D10" s="19">
        <f t="shared" si="5"/>
        <v>45.0609756097561</v>
      </c>
      <c r="E10" s="19">
        <f t="shared" si="5"/>
        <v>44.67342943584268</v>
      </c>
      <c r="F10" s="19">
        <f t="shared" si="5"/>
        <v>37.154761904761905</v>
      </c>
      <c r="G10" s="19">
        <f t="shared" si="5"/>
        <v>51.11538461538461</v>
      </c>
      <c r="H10" s="19">
        <f t="shared" si="5"/>
        <v>49.86206896551724</v>
      </c>
      <c r="I10" s="19">
        <f t="shared" si="0"/>
        <v>-13.712075376851416</v>
      </c>
      <c r="J10" s="19">
        <f t="shared" si="2"/>
        <v>48.6</v>
      </c>
      <c r="K10" s="27">
        <f t="shared" si="3"/>
        <v>-4.57</v>
      </c>
      <c r="L10" s="19">
        <f t="shared" si="4"/>
        <v>44.03</v>
      </c>
      <c r="M10" s="17" t="s">
        <v>28</v>
      </c>
    </row>
    <row r="11" spans="1:13" s="2" customFormat="1" ht="33" customHeight="1">
      <c r="A11" s="56" t="s">
        <v>120</v>
      </c>
      <c r="B11" s="55" t="s">
        <v>30</v>
      </c>
      <c r="C11" s="19">
        <v>0.55</v>
      </c>
      <c r="D11" s="19">
        <v>0.55</v>
      </c>
      <c r="E11" s="19">
        <v>0.48</v>
      </c>
      <c r="F11" s="19">
        <v>0.48</v>
      </c>
      <c r="G11" s="19">
        <v>0.54</v>
      </c>
      <c r="H11" s="19">
        <v>0.54</v>
      </c>
      <c r="I11" s="19">
        <f t="shared" si="0"/>
        <v>0</v>
      </c>
      <c r="J11" s="19">
        <f t="shared" si="2"/>
        <v>0.52</v>
      </c>
      <c r="K11" s="27">
        <f t="shared" si="3"/>
        <v>0</v>
      </c>
      <c r="L11" s="19">
        <f t="shared" si="4"/>
        <v>0.52</v>
      </c>
      <c r="M11" s="48"/>
    </row>
    <row r="12" spans="1:13" s="2" customFormat="1" ht="33" customHeight="1">
      <c r="A12" s="56" t="s">
        <v>31</v>
      </c>
      <c r="B12" s="55" t="s">
        <v>32</v>
      </c>
      <c r="C12" s="19">
        <f>'[2]利民（2021）'!AP46</f>
        <v>139918.68</v>
      </c>
      <c r="D12" s="19">
        <f>'[2]利民待核定（2021）'!AR46</f>
        <v>153254.64</v>
      </c>
      <c r="E12" s="19">
        <f>'[2]利民 (2020)'!AP38</f>
        <v>108902.64</v>
      </c>
      <c r="F12" s="19">
        <f>'[2]利民待核定(2020)'!AR38</f>
        <v>127927.8</v>
      </c>
      <c r="G12" s="19">
        <f>'[2]利民 (2019)'!AP22</f>
        <v>131347.44</v>
      </c>
      <c r="H12" s="19">
        <f>'[2]利民待核定 (2019)'!AR22</f>
        <v>143406.9</v>
      </c>
      <c r="I12" s="19">
        <f t="shared" si="0"/>
        <v>44420.580000000016</v>
      </c>
      <c r="J12" s="19">
        <f t="shared" si="2"/>
        <v>126722.92</v>
      </c>
      <c r="K12" s="27">
        <f t="shared" si="3"/>
        <v>14806.86</v>
      </c>
      <c r="L12" s="19">
        <f t="shared" si="4"/>
        <v>141529.78</v>
      </c>
      <c r="M12" s="48"/>
    </row>
    <row r="13" spans="1:13" s="2" customFormat="1" ht="33" customHeight="1">
      <c r="A13" s="56" t="s">
        <v>33</v>
      </c>
      <c r="B13" s="55" t="s">
        <v>121</v>
      </c>
      <c r="C13" s="19">
        <f aca="true" t="shared" si="6" ref="C13:H13">SUM(C14:C16)</f>
        <v>8845</v>
      </c>
      <c r="D13" s="19">
        <f t="shared" si="6"/>
        <v>8845</v>
      </c>
      <c r="E13" s="19">
        <f t="shared" si="6"/>
        <v>4975.3099999999995</v>
      </c>
      <c r="F13" s="19">
        <f t="shared" si="6"/>
        <v>6840.280000000001</v>
      </c>
      <c r="G13" s="25">
        <f t="shared" si="6"/>
        <v>0</v>
      </c>
      <c r="H13" s="19">
        <f t="shared" si="6"/>
        <v>7291.44</v>
      </c>
      <c r="I13" s="19">
        <f t="shared" si="0"/>
        <v>9156.41</v>
      </c>
      <c r="J13" s="19">
        <f t="shared" si="2"/>
        <v>4606.77</v>
      </c>
      <c r="K13" s="27">
        <f t="shared" si="3"/>
        <v>3052.14</v>
      </c>
      <c r="L13" s="19">
        <f t="shared" si="4"/>
        <v>7658.91</v>
      </c>
      <c r="M13" s="17" t="s">
        <v>156</v>
      </c>
    </row>
    <row r="14" spans="1:13" s="2" customFormat="1" ht="33" customHeight="1">
      <c r="A14" s="57" t="s">
        <v>122</v>
      </c>
      <c r="B14" s="58" t="s">
        <v>37</v>
      </c>
      <c r="C14" s="25">
        <f>'[2]利民（2021）'!AO46</f>
        <v>7200</v>
      </c>
      <c r="D14" s="25">
        <f>'[2]利民待核定（2021）'!AQ46</f>
        <v>7200</v>
      </c>
      <c r="E14" s="25">
        <f>'[2]利民 (2020)'!AO38</f>
        <v>4050</v>
      </c>
      <c r="F14" s="25">
        <f>'[2]利民待核定(2020)'!AQ38</f>
        <v>5914.97</v>
      </c>
      <c r="G14" s="25">
        <f>'[2]利民 (2019)'!AO22</f>
        <v>0</v>
      </c>
      <c r="H14" s="25">
        <f>'[5]利民待核定 (2019)'!$AQ$22</f>
        <v>7291.44</v>
      </c>
      <c r="I14" s="25">
        <f t="shared" si="0"/>
        <v>9156.41</v>
      </c>
      <c r="J14" s="25">
        <f t="shared" si="2"/>
        <v>3750</v>
      </c>
      <c r="K14" s="43">
        <f t="shared" si="3"/>
        <v>3052.14</v>
      </c>
      <c r="L14" s="25">
        <f t="shared" si="4"/>
        <v>6802.14</v>
      </c>
      <c r="M14" s="24" t="s">
        <v>38</v>
      </c>
    </row>
    <row r="15" spans="1:13" s="2" customFormat="1" ht="33" customHeight="1">
      <c r="A15" s="57" t="s">
        <v>123</v>
      </c>
      <c r="B15" s="58" t="s">
        <v>40</v>
      </c>
      <c r="C15" s="25">
        <f>'[2]利民（2021）'!AN46</f>
        <v>1645</v>
      </c>
      <c r="D15" s="25">
        <f>'[2]利民待核定（2021）'!AP46</f>
        <v>1645</v>
      </c>
      <c r="E15" s="25">
        <f>'[2]利民 (2020)'!AN38</f>
        <v>925.31</v>
      </c>
      <c r="F15" s="25">
        <f>'[2]利民待核定(2020)'!AP38</f>
        <v>925.31</v>
      </c>
      <c r="G15" s="25">
        <f>'[2]利民 (2019)'!AN22</f>
        <v>0</v>
      </c>
      <c r="H15" s="25"/>
      <c r="I15" s="25">
        <f t="shared" si="0"/>
        <v>0</v>
      </c>
      <c r="J15" s="25">
        <f t="shared" si="2"/>
        <v>856.77</v>
      </c>
      <c r="K15" s="43">
        <f t="shared" si="3"/>
        <v>0</v>
      </c>
      <c r="L15" s="25">
        <f t="shared" si="4"/>
        <v>856.77</v>
      </c>
      <c r="M15" s="24" t="s">
        <v>38</v>
      </c>
    </row>
    <row r="16" spans="1:13" s="2" customFormat="1" ht="33" customHeight="1">
      <c r="A16" s="57" t="s">
        <v>124</v>
      </c>
      <c r="B16" s="58" t="s">
        <v>42</v>
      </c>
      <c r="C16" s="25"/>
      <c r="D16" s="25"/>
      <c r="E16" s="25"/>
      <c r="F16" s="25"/>
      <c r="G16" s="25"/>
      <c r="H16" s="25"/>
      <c r="I16" s="19">
        <f t="shared" si="0"/>
        <v>0</v>
      </c>
      <c r="J16" s="19">
        <f t="shared" si="2"/>
        <v>0</v>
      </c>
      <c r="K16" s="27">
        <f t="shared" si="3"/>
        <v>0</v>
      </c>
      <c r="L16" s="19">
        <f t="shared" si="4"/>
        <v>0</v>
      </c>
      <c r="M16" s="49"/>
    </row>
    <row r="17" spans="1:13" s="2" customFormat="1" ht="33" customHeight="1">
      <c r="A17" s="56" t="s">
        <v>43</v>
      </c>
      <c r="B17" s="55" t="s">
        <v>44</v>
      </c>
      <c r="C17" s="19">
        <f aca="true" t="shared" si="7" ref="C17:H17">C18+C21+C23+C24+C25+C26+C32</f>
        <v>177038.21000000002</v>
      </c>
      <c r="D17" s="19">
        <f t="shared" si="7"/>
        <v>176001.33</v>
      </c>
      <c r="E17" s="19">
        <f t="shared" si="7"/>
        <v>144128.05000000002</v>
      </c>
      <c r="F17" s="19">
        <f t="shared" si="7"/>
        <v>154584.97</v>
      </c>
      <c r="G17" s="19">
        <f t="shared" si="7"/>
        <v>152579.72999999998</v>
      </c>
      <c r="H17" s="19">
        <f t="shared" si="7"/>
        <v>168660.08000000002</v>
      </c>
      <c r="I17" s="19">
        <f t="shared" si="0"/>
        <v>25500.389999999985</v>
      </c>
      <c r="J17" s="19">
        <f t="shared" si="2"/>
        <v>157915.33</v>
      </c>
      <c r="K17" s="27">
        <f t="shared" si="3"/>
        <v>8500.13</v>
      </c>
      <c r="L17" s="19">
        <f t="shared" si="4"/>
        <v>166415.46</v>
      </c>
      <c r="M17" s="48"/>
    </row>
    <row r="18" spans="1:13" s="2" customFormat="1" ht="33" customHeight="1">
      <c r="A18" s="57" t="s">
        <v>125</v>
      </c>
      <c r="B18" s="58" t="s">
        <v>46</v>
      </c>
      <c r="C18" s="25">
        <f aca="true" t="shared" si="8" ref="C18:H18">C19+C20</f>
        <v>62198.4</v>
      </c>
      <c r="D18" s="25">
        <f t="shared" si="8"/>
        <v>83782.4</v>
      </c>
      <c r="E18" s="25">
        <f t="shared" si="8"/>
        <v>56872.8</v>
      </c>
      <c r="F18" s="25">
        <f t="shared" si="8"/>
        <v>72096.6</v>
      </c>
      <c r="G18" s="25">
        <f t="shared" si="8"/>
        <v>59731.2</v>
      </c>
      <c r="H18" s="25">
        <f t="shared" si="8"/>
        <v>80486.8</v>
      </c>
      <c r="I18" s="25">
        <f t="shared" si="0"/>
        <v>57563.40000000001</v>
      </c>
      <c r="J18" s="25">
        <f t="shared" si="2"/>
        <v>59600.8</v>
      </c>
      <c r="K18" s="43">
        <f t="shared" si="3"/>
        <v>19187.8</v>
      </c>
      <c r="L18" s="25">
        <f t="shared" si="4"/>
        <v>78788.6</v>
      </c>
      <c r="M18" s="24" t="s">
        <v>47</v>
      </c>
    </row>
    <row r="19" spans="1:13" s="2" customFormat="1" ht="33" customHeight="1">
      <c r="A19" s="57" t="s">
        <v>126</v>
      </c>
      <c r="B19" s="58" t="s">
        <v>49</v>
      </c>
      <c r="C19" s="25">
        <f>'[2]利民（2021）'!S46</f>
        <v>54000</v>
      </c>
      <c r="D19" s="25">
        <f>'[2]利民待核定（2021）'!S46</f>
        <v>74520</v>
      </c>
      <c r="E19" s="25">
        <f>'[2]利民 (2020)'!S38</f>
        <v>50400</v>
      </c>
      <c r="F19" s="25">
        <f>'[2]利民待核定(2020)'!S38</f>
        <v>63503</v>
      </c>
      <c r="G19" s="25">
        <f>'[2]利民 (2019)'!S22</f>
        <v>54000</v>
      </c>
      <c r="H19" s="25">
        <f>'[2]利民待核定 (2019)'!S22</f>
        <v>71640</v>
      </c>
      <c r="I19" s="25">
        <f t="shared" si="0"/>
        <v>51263</v>
      </c>
      <c r="J19" s="25">
        <f t="shared" si="2"/>
        <v>52800</v>
      </c>
      <c r="K19" s="43">
        <f t="shared" si="3"/>
        <v>17087.67</v>
      </c>
      <c r="L19" s="25">
        <f t="shared" si="4"/>
        <v>69887.67</v>
      </c>
      <c r="M19" s="46"/>
    </row>
    <row r="20" spans="1:13" s="2" customFormat="1" ht="33" customHeight="1">
      <c r="A20" s="57" t="s">
        <v>127</v>
      </c>
      <c r="B20" s="58" t="s">
        <v>52</v>
      </c>
      <c r="C20" s="25">
        <f>'[2]利民（2021）'!T46</f>
        <v>8198.4</v>
      </c>
      <c r="D20" s="25">
        <f>'[2]利民待核定（2021）'!U46+'[2]利民待核定（2021）'!V46</f>
        <v>9262.4</v>
      </c>
      <c r="E20" s="25">
        <f>'[2]利民 (2020)'!T38</f>
        <v>6472.8</v>
      </c>
      <c r="F20" s="25">
        <f>'[2]利民待核定(2020)'!U38+'[2]利民待核定(2020)'!V38</f>
        <v>8593.6</v>
      </c>
      <c r="G20" s="25">
        <f>'[2]利民 (2019)'!T22</f>
        <v>5731.2</v>
      </c>
      <c r="H20" s="25">
        <f>'[2]利民待核定 (2019)'!U22+'[2]利民待核定 (2019)'!V22</f>
        <v>8846.8</v>
      </c>
      <c r="I20" s="25">
        <f t="shared" si="0"/>
        <v>6300.399999999999</v>
      </c>
      <c r="J20" s="25">
        <f t="shared" si="2"/>
        <v>6800.8</v>
      </c>
      <c r="K20" s="43">
        <f t="shared" si="3"/>
        <v>2100.13</v>
      </c>
      <c r="L20" s="25">
        <f t="shared" si="4"/>
        <v>8900.93</v>
      </c>
      <c r="M20" s="24" t="s">
        <v>157</v>
      </c>
    </row>
    <row r="21" spans="1:13" s="2" customFormat="1" ht="33" customHeight="1">
      <c r="A21" s="58" t="s">
        <v>129</v>
      </c>
      <c r="B21" s="58" t="s">
        <v>55</v>
      </c>
      <c r="C21" s="25">
        <f>'[8]利民（2021）'!Q46</f>
        <v>14372.21</v>
      </c>
      <c r="D21" s="25">
        <f>'[8]利民核定（2021）'!Q46</f>
        <v>7893.74</v>
      </c>
      <c r="E21" s="25">
        <f>'[8]利民 (2020)'!Q38</f>
        <v>14493.72</v>
      </c>
      <c r="F21" s="25">
        <f>'[8]利民核定(2020)'!Q38</f>
        <v>7877.03</v>
      </c>
      <c r="G21" s="25">
        <f>'[8]利民 (2019)'!Q22</f>
        <v>13058.31</v>
      </c>
      <c r="H21" s="25">
        <f>'[8]利民核定 (2019)'!Q22</f>
        <v>6895.06</v>
      </c>
      <c r="I21" s="25">
        <f t="shared" si="0"/>
        <v>-19258.41</v>
      </c>
      <c r="J21" s="25">
        <f t="shared" si="2"/>
        <v>13974.75</v>
      </c>
      <c r="K21" s="43">
        <f t="shared" si="3"/>
        <v>-6419.47</v>
      </c>
      <c r="L21" s="25">
        <f t="shared" si="4"/>
        <v>7555.28</v>
      </c>
      <c r="M21" s="24" t="s">
        <v>56</v>
      </c>
    </row>
    <row r="22" spans="1:13" s="2" customFormat="1" ht="33" customHeight="1">
      <c r="A22" s="58" t="s">
        <v>131</v>
      </c>
      <c r="B22" s="58" t="s">
        <v>58</v>
      </c>
      <c r="C22" s="25">
        <f>'[8]利民（2021）'!N46</f>
        <v>7</v>
      </c>
      <c r="D22" s="25">
        <f>'[8]利民核定（2021）'!N46</f>
        <v>12.63</v>
      </c>
      <c r="E22" s="25">
        <v>7</v>
      </c>
      <c r="F22" s="25">
        <f>'[8]利民核定(2020)'!N38</f>
        <v>12.66</v>
      </c>
      <c r="G22" s="25">
        <v>7</v>
      </c>
      <c r="H22" s="25">
        <f>'[8]利民核定 (2019)'!N22</f>
        <v>13.13</v>
      </c>
      <c r="I22" s="25">
        <f t="shared" si="0"/>
        <v>17.42</v>
      </c>
      <c r="J22" s="25">
        <f t="shared" si="2"/>
        <v>7</v>
      </c>
      <c r="K22" s="43">
        <f t="shared" si="3"/>
        <v>5.81</v>
      </c>
      <c r="L22" s="25">
        <f t="shared" si="4"/>
        <v>12.81</v>
      </c>
      <c r="M22" s="24" t="s">
        <v>59</v>
      </c>
    </row>
    <row r="23" spans="1:13" s="2" customFormat="1" ht="33" customHeight="1">
      <c r="A23" s="57" t="s">
        <v>132</v>
      </c>
      <c r="B23" s="58" t="s">
        <v>61</v>
      </c>
      <c r="C23" s="25">
        <f>'[2]利民（2021）'!U46</f>
        <v>15325.66</v>
      </c>
      <c r="D23" s="25">
        <f>'[2]利民待核定（2021）'!W46</f>
        <v>15325.66</v>
      </c>
      <c r="E23" s="25">
        <f>'[2]利民 (2020)'!U38</f>
        <v>10748.93</v>
      </c>
      <c r="F23" s="25">
        <f>'[2]利民待核定(2020)'!W38</f>
        <v>10748.93</v>
      </c>
      <c r="G23" s="25">
        <f>'[2]利民 (2019)'!U22</f>
        <v>10882.28</v>
      </c>
      <c r="H23" s="25">
        <f>'[2]利民待核定 (2019)'!W22</f>
        <v>10882.28</v>
      </c>
      <c r="I23" s="25">
        <f t="shared" si="0"/>
        <v>0</v>
      </c>
      <c r="J23" s="25">
        <f t="shared" si="2"/>
        <v>12318.96</v>
      </c>
      <c r="K23" s="43">
        <f t="shared" si="3"/>
        <v>0</v>
      </c>
      <c r="L23" s="25">
        <f t="shared" si="4"/>
        <v>12318.96</v>
      </c>
      <c r="M23" s="24" t="s">
        <v>38</v>
      </c>
    </row>
    <row r="24" spans="1:13" s="2" customFormat="1" ht="33" customHeight="1">
      <c r="A24" s="57" t="s">
        <v>133</v>
      </c>
      <c r="B24" s="58" t="s">
        <v>63</v>
      </c>
      <c r="C24" s="25">
        <f>'[2]利民（2021）'!V46</f>
        <v>63464.94</v>
      </c>
      <c r="D24" s="25">
        <f>'[2]利民待核定（2021）'!X46</f>
        <v>51259.13</v>
      </c>
      <c r="E24" s="25">
        <f>'[2]利民 (2020)'!V38</f>
        <v>40291.72</v>
      </c>
      <c r="F24" s="25">
        <f>'[2]利民待核定(2020)'!X38</f>
        <v>46088.06</v>
      </c>
      <c r="G24" s="25">
        <f>'[2]利民 (2019)'!V22</f>
        <v>47007.69</v>
      </c>
      <c r="H24" s="25">
        <f>'[2]利民待核定 (2019)'!X22</f>
        <v>52897.19</v>
      </c>
      <c r="I24" s="25">
        <f t="shared" si="0"/>
        <v>-519.9700000000084</v>
      </c>
      <c r="J24" s="25">
        <f t="shared" si="2"/>
        <v>50254.78</v>
      </c>
      <c r="K24" s="43">
        <f t="shared" si="3"/>
        <v>-173.32</v>
      </c>
      <c r="L24" s="25">
        <f t="shared" si="4"/>
        <v>50081.46</v>
      </c>
      <c r="M24" s="24" t="s">
        <v>64</v>
      </c>
    </row>
    <row r="25" spans="1:13" s="2" customFormat="1" ht="45.75" customHeight="1">
      <c r="A25" s="57" t="s">
        <v>135</v>
      </c>
      <c r="B25" s="58" t="s">
        <v>66</v>
      </c>
      <c r="C25" s="25">
        <f>'[2]利民（2021）'!AA46+'[2]利民（2021）'!Z46</f>
        <v>12051</v>
      </c>
      <c r="D25" s="25">
        <f>'[2]利民待核定（2021）'!AB46+'[2]利民待核定（2021）'!AC46</f>
        <v>8114.4</v>
      </c>
      <c r="E25" s="25">
        <f>'[2]利民 (2020)'!AA38+'[2]利民 (2020)'!Z38</f>
        <v>12084.380000000001</v>
      </c>
      <c r="F25" s="25">
        <f>'[2]利民待核定(2020)'!AB38+'[2]利民待核定(2020)'!AC38</f>
        <v>8137.85</v>
      </c>
      <c r="G25" s="25">
        <f>'[2]利民 (2019)'!AA22+'[2]利民 (2019)'!Z22</f>
        <v>12181.25</v>
      </c>
      <c r="H25" s="25">
        <f>'[2]利民待核定 (2019)'!AB22+'[2]利民待核定 (2019)'!AC22</f>
        <v>7779.75</v>
      </c>
      <c r="I25" s="25">
        <f t="shared" si="0"/>
        <v>-12284.630000000001</v>
      </c>
      <c r="J25" s="25">
        <f t="shared" si="2"/>
        <v>12105.54</v>
      </c>
      <c r="K25" s="43">
        <f t="shared" si="3"/>
        <v>-4094.88</v>
      </c>
      <c r="L25" s="25">
        <f t="shared" si="4"/>
        <v>8010.67</v>
      </c>
      <c r="M25" s="24" t="s">
        <v>158</v>
      </c>
    </row>
    <row r="26" spans="1:13" s="2" customFormat="1" ht="33" customHeight="1">
      <c r="A26" s="57" t="s">
        <v>137</v>
      </c>
      <c r="B26" s="58" t="s">
        <v>69</v>
      </c>
      <c r="C26" s="25">
        <f aca="true" t="shared" si="9" ref="C26:H26">SUM(C27:C31)</f>
        <v>8426</v>
      </c>
      <c r="D26" s="25">
        <f t="shared" si="9"/>
        <v>8426</v>
      </c>
      <c r="E26" s="25">
        <f t="shared" si="9"/>
        <v>8436.5</v>
      </c>
      <c r="F26" s="25">
        <f t="shared" si="9"/>
        <v>8436.5</v>
      </c>
      <c r="G26" s="25">
        <f t="shared" si="9"/>
        <v>8519</v>
      </c>
      <c r="H26" s="25">
        <f t="shared" si="9"/>
        <v>8519</v>
      </c>
      <c r="I26" s="25">
        <f t="shared" si="0"/>
        <v>0</v>
      </c>
      <c r="J26" s="25">
        <f t="shared" si="2"/>
        <v>8460.5</v>
      </c>
      <c r="K26" s="43">
        <f t="shared" si="3"/>
        <v>0</v>
      </c>
      <c r="L26" s="25">
        <f t="shared" si="4"/>
        <v>8460.5</v>
      </c>
      <c r="M26" s="24" t="s">
        <v>38</v>
      </c>
    </row>
    <row r="27" spans="1:13" s="2" customFormat="1" ht="33" customHeight="1">
      <c r="A27" s="57" t="s">
        <v>138</v>
      </c>
      <c r="B27" s="58" t="s">
        <v>71</v>
      </c>
      <c r="C27" s="25"/>
      <c r="D27" s="25"/>
      <c r="E27" s="25"/>
      <c r="F27" s="25"/>
      <c r="G27" s="25"/>
      <c r="H27" s="25"/>
      <c r="I27" s="25">
        <f t="shared" si="0"/>
        <v>0</v>
      </c>
      <c r="J27" s="25">
        <f t="shared" si="2"/>
        <v>0</v>
      </c>
      <c r="K27" s="43">
        <f t="shared" si="3"/>
        <v>0</v>
      </c>
      <c r="L27" s="25">
        <f t="shared" si="4"/>
        <v>0</v>
      </c>
      <c r="M27" s="50"/>
    </row>
    <row r="28" spans="1:13" s="2" customFormat="1" ht="33" customHeight="1">
      <c r="A28" s="57" t="s">
        <v>139</v>
      </c>
      <c r="B28" s="58" t="s">
        <v>73</v>
      </c>
      <c r="C28" s="25"/>
      <c r="D28" s="25"/>
      <c r="E28" s="25"/>
      <c r="F28" s="25"/>
      <c r="G28" s="25"/>
      <c r="H28" s="25"/>
      <c r="I28" s="25">
        <f t="shared" si="0"/>
        <v>0</v>
      </c>
      <c r="J28" s="25">
        <f t="shared" si="2"/>
        <v>0</v>
      </c>
      <c r="K28" s="43">
        <f t="shared" si="3"/>
        <v>0</v>
      </c>
      <c r="L28" s="25">
        <f t="shared" si="4"/>
        <v>0</v>
      </c>
      <c r="M28" s="50"/>
    </row>
    <row r="29" spans="1:13" s="2" customFormat="1" ht="33" customHeight="1">
      <c r="A29" s="57" t="s">
        <v>140</v>
      </c>
      <c r="B29" s="58" t="s">
        <v>75</v>
      </c>
      <c r="C29" s="25">
        <f>'[2]利民（2021）'!W46</f>
        <v>360</v>
      </c>
      <c r="D29" s="25">
        <f>'[2]利民待核定（2021）'!Y46</f>
        <v>360</v>
      </c>
      <c r="E29" s="25">
        <f>'[2]利民 (2020)'!W38</f>
        <v>360</v>
      </c>
      <c r="F29" s="25">
        <f>'[2]利民待核定(2020)'!Y38</f>
        <v>360</v>
      </c>
      <c r="G29" s="25">
        <f>'[2]利民 (2019)'!W22</f>
        <v>360</v>
      </c>
      <c r="H29" s="25">
        <f>'[2]利民待核定 (2019)'!Y22</f>
        <v>360</v>
      </c>
      <c r="I29" s="25">
        <f t="shared" si="0"/>
        <v>0</v>
      </c>
      <c r="J29" s="25">
        <f t="shared" si="2"/>
        <v>360</v>
      </c>
      <c r="K29" s="43">
        <f t="shared" si="3"/>
        <v>0</v>
      </c>
      <c r="L29" s="25">
        <f t="shared" si="4"/>
        <v>360</v>
      </c>
      <c r="M29" s="50"/>
    </row>
    <row r="30" spans="1:13" s="2" customFormat="1" ht="33" customHeight="1">
      <c r="A30" s="57" t="s">
        <v>141</v>
      </c>
      <c r="B30" s="58" t="s">
        <v>77</v>
      </c>
      <c r="C30" s="25">
        <f>'[2]利民（2021）'!AB46</f>
        <v>960</v>
      </c>
      <c r="D30" s="25">
        <f>'[2]利民待核定（2021）'!AD46</f>
        <v>960</v>
      </c>
      <c r="E30" s="25">
        <f>'[2]利民 (2020)'!AB38</f>
        <v>960</v>
      </c>
      <c r="F30" s="25">
        <f>'[2]利民待核定(2020)'!AD38</f>
        <v>960</v>
      </c>
      <c r="G30" s="25">
        <f>'[2]利民 (2019)'!AB22</f>
        <v>960</v>
      </c>
      <c r="H30" s="25">
        <f>'[2]利民待核定 (2019)'!AD22</f>
        <v>960</v>
      </c>
      <c r="I30" s="25">
        <f t="shared" si="0"/>
        <v>0</v>
      </c>
      <c r="J30" s="25">
        <f t="shared" si="2"/>
        <v>960</v>
      </c>
      <c r="K30" s="43">
        <f t="shared" si="3"/>
        <v>0</v>
      </c>
      <c r="L30" s="25">
        <f t="shared" si="4"/>
        <v>960</v>
      </c>
      <c r="M30" s="50"/>
    </row>
    <row r="31" spans="1:13" s="2" customFormat="1" ht="33" customHeight="1">
      <c r="A31" s="57" t="s">
        <v>142</v>
      </c>
      <c r="B31" s="58" t="s">
        <v>79</v>
      </c>
      <c r="C31" s="25">
        <f>'[2]利民（2021）'!Y46+'[2]利民（2021）'!X46+'[2]利民（2021）'!AC46+'[2]利民（2021）'!AD46</f>
        <v>7106</v>
      </c>
      <c r="D31" s="25">
        <f>'[2]利民待核定（2021）'!Z46+'[2]利民待核定（2021）'!AA46+'[2]利民待核定（2021）'!AE46+'[2]利民待核定（2021）'!AF46</f>
        <v>7106</v>
      </c>
      <c r="E31" s="25">
        <f>'[2]利民 (2020)'!Y38+'[2]利民 (2020)'!X38+'[2]利民 (2020)'!AC38+'[2]利民 (2020)'!AD38</f>
        <v>7116.5</v>
      </c>
      <c r="F31" s="25">
        <f>'[2]利民待核定(2020)'!Z38+'[2]利民待核定(2020)'!AA38+'[2]利民待核定(2020)'!AE38+'[2]利民待核定(2020)'!AF38</f>
        <v>7116.5</v>
      </c>
      <c r="G31" s="25">
        <f>'[2]利民 (2019)'!Y22+'[2]利民 (2019)'!X22+'[2]利民 (2019)'!AC22+'[2]利民 (2019)'!AD22</f>
        <v>7199</v>
      </c>
      <c r="H31" s="25">
        <f>'[2]利民待核定 (2019)'!Z22+'[2]利民待核定 (2019)'!AA22+'[2]利民待核定 (2019)'!AE22+'[2]利民待核定 (2019)'!AF22</f>
        <v>7199</v>
      </c>
      <c r="I31" s="25">
        <f t="shared" si="0"/>
        <v>0</v>
      </c>
      <c r="J31" s="25">
        <f t="shared" si="2"/>
        <v>7140.5</v>
      </c>
      <c r="K31" s="43">
        <f t="shared" si="3"/>
        <v>0</v>
      </c>
      <c r="L31" s="25">
        <f t="shared" si="4"/>
        <v>7140.5</v>
      </c>
      <c r="M31" s="24" t="s">
        <v>159</v>
      </c>
    </row>
    <row r="32" spans="1:13" s="2" customFormat="1" ht="33" customHeight="1">
      <c r="A32" s="57" t="s">
        <v>143</v>
      </c>
      <c r="B32" s="58" t="s">
        <v>81</v>
      </c>
      <c r="C32" s="25">
        <f>'[2]利民（2021）'!AE46</f>
        <v>1200</v>
      </c>
      <c r="D32" s="25">
        <f>'[2]利民待核定（2021）'!AG46</f>
        <v>1200</v>
      </c>
      <c r="E32" s="25">
        <f>'[2]利民 (2020)'!AE38</f>
        <v>1200</v>
      </c>
      <c r="F32" s="25">
        <f>'[2]利民待核定(2020)'!AG38</f>
        <v>1200</v>
      </c>
      <c r="G32" s="25">
        <f>'[2]利民待核定 (2019)'!AG22</f>
        <v>1200</v>
      </c>
      <c r="H32" s="25">
        <f>'[2]利民待核定 (2019)'!AG22</f>
        <v>1200</v>
      </c>
      <c r="I32" s="25">
        <f t="shared" si="0"/>
        <v>0</v>
      </c>
      <c r="J32" s="25">
        <f t="shared" si="2"/>
        <v>1200</v>
      </c>
      <c r="K32" s="43">
        <f t="shared" si="3"/>
        <v>0</v>
      </c>
      <c r="L32" s="25">
        <f t="shared" si="4"/>
        <v>1200</v>
      </c>
      <c r="M32" s="50"/>
    </row>
    <row r="33" spans="1:13" s="2" customFormat="1" ht="33" customHeight="1">
      <c r="A33" s="56" t="s">
        <v>82</v>
      </c>
      <c r="B33" s="55" t="s">
        <v>83</v>
      </c>
      <c r="C33" s="19">
        <f aca="true" t="shared" si="10" ref="C33:H33">SUM(C34:C38)</f>
        <v>7344</v>
      </c>
      <c r="D33" s="19">
        <f t="shared" si="10"/>
        <v>8834.4</v>
      </c>
      <c r="E33" s="19">
        <f t="shared" si="10"/>
        <v>7245</v>
      </c>
      <c r="F33" s="19">
        <f t="shared" si="10"/>
        <v>8515.06</v>
      </c>
      <c r="G33" s="19">
        <f t="shared" si="10"/>
        <v>7470</v>
      </c>
      <c r="H33" s="19">
        <f t="shared" si="10"/>
        <v>8902.8</v>
      </c>
      <c r="I33" s="19">
        <f t="shared" si="0"/>
        <v>4193.259999999998</v>
      </c>
      <c r="J33" s="19">
        <f t="shared" si="2"/>
        <v>7353</v>
      </c>
      <c r="K33" s="27">
        <f t="shared" si="3"/>
        <v>1397.75</v>
      </c>
      <c r="L33" s="19">
        <f t="shared" si="4"/>
        <v>8750.75</v>
      </c>
      <c r="M33" s="17" t="s">
        <v>38</v>
      </c>
    </row>
    <row r="34" spans="1:13" s="2" customFormat="1" ht="33" customHeight="1">
      <c r="A34" s="57" t="s">
        <v>144</v>
      </c>
      <c r="B34" s="58" t="s">
        <v>85</v>
      </c>
      <c r="C34" s="25"/>
      <c r="D34" s="25"/>
      <c r="E34" s="25"/>
      <c r="F34" s="25"/>
      <c r="G34" s="25"/>
      <c r="H34" s="25"/>
      <c r="I34" s="25">
        <f t="shared" si="0"/>
        <v>0</v>
      </c>
      <c r="J34" s="25">
        <f t="shared" si="2"/>
        <v>0</v>
      </c>
      <c r="K34" s="43">
        <f t="shared" si="3"/>
        <v>0</v>
      </c>
      <c r="L34" s="25">
        <f t="shared" si="4"/>
        <v>0</v>
      </c>
      <c r="M34" s="24"/>
    </row>
    <row r="35" spans="1:13" s="2" customFormat="1" ht="33" customHeight="1">
      <c r="A35" s="59" t="s">
        <v>145</v>
      </c>
      <c r="B35" s="58" t="s">
        <v>87</v>
      </c>
      <c r="C35" s="25">
        <f>'[2]利民（2021）'!R46</f>
        <v>7344</v>
      </c>
      <c r="D35" s="25">
        <f>'[2]利民待核定（2021）'!R46</f>
        <v>7344</v>
      </c>
      <c r="E35" s="25">
        <f>'[2]利民 (2020)'!R38</f>
        <v>7245</v>
      </c>
      <c r="F35" s="25">
        <f>'[2]利民待核定(2020)'!R38</f>
        <v>7245</v>
      </c>
      <c r="G35" s="25">
        <f>'[2]利民 (2019)'!R22</f>
        <v>7470</v>
      </c>
      <c r="H35" s="25">
        <f>'[2]利民待核定 (2019)'!R22</f>
        <v>7470</v>
      </c>
      <c r="I35" s="25">
        <f t="shared" si="0"/>
        <v>0</v>
      </c>
      <c r="J35" s="25">
        <f t="shared" si="2"/>
        <v>7353</v>
      </c>
      <c r="K35" s="43">
        <f t="shared" si="3"/>
        <v>0</v>
      </c>
      <c r="L35" s="25">
        <f t="shared" si="4"/>
        <v>7353</v>
      </c>
      <c r="M35" s="24" t="s">
        <v>38</v>
      </c>
    </row>
    <row r="36" spans="1:13" s="2" customFormat="1" ht="33" customHeight="1">
      <c r="A36" s="57" t="s">
        <v>146</v>
      </c>
      <c r="B36" s="58" t="s">
        <v>89</v>
      </c>
      <c r="C36" s="25"/>
      <c r="D36" s="25"/>
      <c r="E36" s="25"/>
      <c r="F36" s="25"/>
      <c r="G36" s="25"/>
      <c r="H36" s="25"/>
      <c r="I36" s="25">
        <f t="shared" si="0"/>
        <v>0</v>
      </c>
      <c r="J36" s="25">
        <f t="shared" si="2"/>
        <v>0</v>
      </c>
      <c r="K36" s="43">
        <f t="shared" si="3"/>
        <v>0</v>
      </c>
      <c r="L36" s="25">
        <f t="shared" si="4"/>
        <v>0</v>
      </c>
      <c r="M36" s="24"/>
    </row>
    <row r="37" spans="1:13" s="2" customFormat="1" ht="33" customHeight="1">
      <c r="A37" s="57" t="s">
        <v>147</v>
      </c>
      <c r="B37" s="58" t="s">
        <v>91</v>
      </c>
      <c r="C37" s="25"/>
      <c r="D37" s="25">
        <f>'[2]利民待核定（2021）'!T46</f>
        <v>1490.4</v>
      </c>
      <c r="E37" s="25"/>
      <c r="F37" s="25">
        <f>'[2]利民待核定(2020)'!T38</f>
        <v>1270.06</v>
      </c>
      <c r="G37" s="25"/>
      <c r="H37" s="25">
        <f>'[2]利民待核定 (2019)'!T22</f>
        <v>1432.8</v>
      </c>
      <c r="I37" s="25">
        <f t="shared" si="0"/>
        <v>4193.26</v>
      </c>
      <c r="J37" s="25">
        <f t="shared" si="2"/>
        <v>0</v>
      </c>
      <c r="K37" s="43">
        <f t="shared" si="3"/>
        <v>1397.75</v>
      </c>
      <c r="L37" s="25">
        <f t="shared" si="4"/>
        <v>1397.75</v>
      </c>
      <c r="M37" s="24"/>
    </row>
    <row r="38" spans="1:13" s="2" customFormat="1" ht="33" customHeight="1">
      <c r="A38" s="57" t="s">
        <v>148</v>
      </c>
      <c r="B38" s="58" t="s">
        <v>93</v>
      </c>
      <c r="C38" s="25"/>
      <c r="D38" s="25"/>
      <c r="E38" s="25"/>
      <c r="F38" s="25"/>
      <c r="G38" s="25"/>
      <c r="H38" s="25"/>
      <c r="I38" s="25">
        <f t="shared" si="0"/>
        <v>0</v>
      </c>
      <c r="J38" s="25">
        <f t="shared" si="2"/>
        <v>0</v>
      </c>
      <c r="K38" s="43">
        <f t="shared" si="3"/>
        <v>0</v>
      </c>
      <c r="L38" s="25">
        <f t="shared" si="4"/>
        <v>0</v>
      </c>
      <c r="M38" s="50"/>
    </row>
    <row r="39" spans="1:13" s="2" customFormat="1" ht="33" customHeight="1">
      <c r="A39" s="56" t="s">
        <v>94</v>
      </c>
      <c r="B39" s="55" t="s">
        <v>95</v>
      </c>
      <c r="C39" s="19"/>
      <c r="D39" s="19"/>
      <c r="E39" s="19"/>
      <c r="F39" s="19"/>
      <c r="G39" s="19"/>
      <c r="H39" s="19"/>
      <c r="I39" s="25">
        <f t="shared" si="0"/>
        <v>0</v>
      </c>
      <c r="J39" s="25">
        <f t="shared" si="2"/>
        <v>0</v>
      </c>
      <c r="K39" s="43">
        <f t="shared" si="3"/>
        <v>0</v>
      </c>
      <c r="L39" s="25">
        <f t="shared" si="4"/>
        <v>0</v>
      </c>
      <c r="M39" s="50"/>
    </row>
    <row r="40" spans="1:13" s="2" customFormat="1" ht="33" customHeight="1">
      <c r="A40" s="56" t="s">
        <v>96</v>
      </c>
      <c r="B40" s="55" t="s">
        <v>97</v>
      </c>
      <c r="C40" s="19">
        <f aca="true" t="shared" si="11" ref="C40:H40">C17+C33+C39</f>
        <v>184382.21000000002</v>
      </c>
      <c r="D40" s="19">
        <f t="shared" si="11"/>
        <v>184835.72999999998</v>
      </c>
      <c r="E40" s="19">
        <f t="shared" si="11"/>
        <v>151373.05000000002</v>
      </c>
      <c r="F40" s="19">
        <f t="shared" si="11"/>
        <v>163100.03</v>
      </c>
      <c r="G40" s="19">
        <f t="shared" si="11"/>
        <v>160049.72999999998</v>
      </c>
      <c r="H40" s="19">
        <f t="shared" si="11"/>
        <v>177562.88</v>
      </c>
      <c r="I40" s="19">
        <f t="shared" si="0"/>
        <v>29693.649999999965</v>
      </c>
      <c r="J40" s="19">
        <f t="shared" si="2"/>
        <v>165268.33</v>
      </c>
      <c r="K40" s="27">
        <f t="shared" si="3"/>
        <v>9897.88</v>
      </c>
      <c r="L40" s="19">
        <f t="shared" si="4"/>
        <v>175166.21</v>
      </c>
      <c r="M40" s="17" t="s">
        <v>98</v>
      </c>
    </row>
    <row r="41" spans="1:13" s="2" customFormat="1" ht="33" customHeight="1">
      <c r="A41" s="56" t="s">
        <v>99</v>
      </c>
      <c r="B41" s="55" t="s">
        <v>100</v>
      </c>
      <c r="C41" s="19">
        <f aca="true" t="shared" si="12" ref="C41:H41">C40-C13</f>
        <v>175537.21000000002</v>
      </c>
      <c r="D41" s="19">
        <f t="shared" si="12"/>
        <v>175990.72999999998</v>
      </c>
      <c r="E41" s="19">
        <f t="shared" si="12"/>
        <v>146397.74000000002</v>
      </c>
      <c r="F41" s="19">
        <f t="shared" si="12"/>
        <v>156259.75</v>
      </c>
      <c r="G41" s="19">
        <f t="shared" si="12"/>
        <v>160049.72999999998</v>
      </c>
      <c r="H41" s="19">
        <f t="shared" si="12"/>
        <v>170271.44</v>
      </c>
      <c r="I41" s="19">
        <f t="shared" si="0"/>
        <v>20537.23999999996</v>
      </c>
      <c r="J41" s="19">
        <f t="shared" si="2"/>
        <v>160661.56</v>
      </c>
      <c r="K41" s="27">
        <f t="shared" si="3"/>
        <v>6845.75</v>
      </c>
      <c r="L41" s="19">
        <f t="shared" si="4"/>
        <v>167507.31</v>
      </c>
      <c r="M41" s="17"/>
    </row>
    <row r="42" spans="1:13" s="2" customFormat="1" ht="33" customHeight="1">
      <c r="A42" s="56" t="s">
        <v>150</v>
      </c>
      <c r="B42" s="55" t="s">
        <v>102</v>
      </c>
      <c r="C42" s="18">
        <f>'[2]利民（2021）'!AG46</f>
        <v>6519.81</v>
      </c>
      <c r="D42" s="18">
        <f>'[2]利民待核定（2021）'!AI46</f>
        <v>7502.88</v>
      </c>
      <c r="E42" s="18">
        <f>'[2]利民 (2020)'!AG38</f>
        <v>5617.92</v>
      </c>
      <c r="F42" s="18">
        <f>'[2]利民待核定(2020)'!AI38</f>
        <v>6902.28</v>
      </c>
      <c r="G42" s="18">
        <f>'[2]利民 (2019)'!AG22</f>
        <v>6147.54</v>
      </c>
      <c r="H42" s="18">
        <f>'[2]利民待核定 (2019)'!AI22</f>
        <v>6832.98</v>
      </c>
      <c r="I42" s="19">
        <f t="shared" si="0"/>
        <v>2952.87</v>
      </c>
      <c r="J42" s="19">
        <f t="shared" si="2"/>
        <v>6095.09</v>
      </c>
      <c r="K42" s="27">
        <f t="shared" si="3"/>
        <v>984.29</v>
      </c>
      <c r="L42" s="19">
        <f t="shared" si="4"/>
        <v>7079.38</v>
      </c>
      <c r="M42" s="17" t="s">
        <v>103</v>
      </c>
    </row>
    <row r="43" spans="1:13" s="2" customFormat="1" ht="33" customHeight="1">
      <c r="A43" s="56" t="s">
        <v>152</v>
      </c>
      <c r="B43" s="55" t="s">
        <v>105</v>
      </c>
      <c r="C43" s="19">
        <f aca="true" t="shared" si="13" ref="C43:H43">C40/C42</f>
        <v>28.280304180643302</v>
      </c>
      <c r="D43" s="19">
        <f t="shared" si="13"/>
        <v>24.63530404324739</v>
      </c>
      <c r="E43" s="19">
        <f t="shared" si="13"/>
        <v>26.944678813511054</v>
      </c>
      <c r="F43" s="19">
        <f t="shared" si="13"/>
        <v>23.62987737385328</v>
      </c>
      <c r="G43" s="27">
        <f t="shared" si="13"/>
        <v>26.034760245561635</v>
      </c>
      <c r="H43" s="27">
        <f t="shared" si="13"/>
        <v>25.98615538169291</v>
      </c>
      <c r="I43" s="19">
        <f t="shared" si="0"/>
        <v>-7.0084064409224105</v>
      </c>
      <c r="J43" s="19">
        <f t="shared" si="2"/>
        <v>27.09</v>
      </c>
      <c r="K43" s="27">
        <f t="shared" si="3"/>
        <v>-2.34</v>
      </c>
      <c r="L43" s="19">
        <f t="shared" si="4"/>
        <v>24.75</v>
      </c>
      <c r="M43" s="17" t="s">
        <v>106</v>
      </c>
    </row>
    <row r="44" spans="1:13" s="2" customFormat="1" ht="33" customHeight="1">
      <c r="A44" s="56" t="s">
        <v>153</v>
      </c>
      <c r="B44" s="55" t="s">
        <v>108</v>
      </c>
      <c r="C44" s="19">
        <f aca="true" t="shared" si="14" ref="C44:H44">C43/C10</f>
        <v>0.5655940047232831</v>
      </c>
      <c r="D44" s="19">
        <f t="shared" si="14"/>
        <v>0.5467104009597527</v>
      </c>
      <c r="E44" s="19">
        <f t="shared" si="14"/>
        <v>0.603147758159185</v>
      </c>
      <c r="F44" s="19">
        <f t="shared" si="14"/>
        <v>0.6359851648201459</v>
      </c>
      <c r="G44" s="27">
        <f t="shared" si="14"/>
        <v>0.509333157550491</v>
      </c>
      <c r="H44" s="27">
        <f t="shared" si="14"/>
        <v>0.5211607925789035</v>
      </c>
      <c r="I44" s="19">
        <f t="shared" si="0"/>
        <v>0.025781437925842865</v>
      </c>
      <c r="J44" s="19">
        <f t="shared" si="2"/>
        <v>0.56</v>
      </c>
      <c r="K44" s="27">
        <f t="shared" si="3"/>
        <v>0.01</v>
      </c>
      <c r="L44" s="19">
        <f t="shared" si="4"/>
        <v>0.57</v>
      </c>
      <c r="M44" s="50"/>
    </row>
    <row r="45" spans="1:13" s="2" customFormat="1" ht="33" customHeight="1">
      <c r="A45" s="56" t="s">
        <v>109</v>
      </c>
      <c r="B45" s="55" t="s">
        <v>110</v>
      </c>
      <c r="C45" s="19">
        <f>'[2]利民（2021）'!AI46</f>
        <v>62.9</v>
      </c>
      <c r="D45" s="19">
        <f>'[2]利民待核定（2021）'!AK46</f>
        <v>62.9</v>
      </c>
      <c r="E45" s="19">
        <f>'[2]利民 (2020)'!AI38</f>
        <v>55.78</v>
      </c>
      <c r="F45" s="19">
        <f>'[2]利民待核定(2020)'!AK38</f>
        <v>55.78</v>
      </c>
      <c r="G45" s="27">
        <f>'[2]利民 (2019)'!AI22</f>
        <v>61.56</v>
      </c>
      <c r="H45" s="27">
        <f>'[2]利民待核定 (2019)'!AK22</f>
        <v>61.56</v>
      </c>
      <c r="I45" s="19">
        <f t="shared" si="0"/>
        <v>0</v>
      </c>
      <c r="J45" s="19">
        <f t="shared" si="2"/>
        <v>60.08</v>
      </c>
      <c r="K45" s="27">
        <f t="shared" si="3"/>
        <v>0</v>
      </c>
      <c r="L45" s="19">
        <f t="shared" si="4"/>
        <v>60.08</v>
      </c>
      <c r="M45" s="33"/>
    </row>
    <row r="46" s="2" customFormat="1" ht="21.75" customHeight="1"/>
    <row r="47" s="2" customFormat="1" ht="21.75" customHeight="1"/>
    <row r="50" s="2" customFormat="1" ht="13.5">
      <c r="A50" s="34"/>
    </row>
    <row r="51" spans="3:12" s="2" customFormat="1" ht="13.5">
      <c r="C51" s="35"/>
      <c r="D51" s="35"/>
      <c r="E51" s="35"/>
      <c r="F51" s="35"/>
      <c r="G51" s="35"/>
      <c r="H51" s="35"/>
      <c r="I51" s="35"/>
      <c r="J51" s="35"/>
      <c r="K51" s="35"/>
      <c r="L51" s="35"/>
    </row>
  </sheetData>
  <sheetProtection/>
  <mergeCells count="7">
    <mergeCell ref="A2:M2"/>
    <mergeCell ref="C3:D3"/>
    <mergeCell ref="E3:F3"/>
    <mergeCell ref="G3:H3"/>
    <mergeCell ref="A3:A4"/>
    <mergeCell ref="B3:B4"/>
    <mergeCell ref="M3:M4"/>
  </mergeCells>
  <printOptions/>
  <pageMargins left="0.7513888888888889" right="0.7513888888888889" top="0.7868055555555555" bottom="0.7083333333333334" header="0.5118055555555555" footer="0.39305555555555555"/>
  <pageSetup firstPageNumber="17" useFirstPageNumber="1" fitToHeight="0" fitToWidth="1" horizontalDpi="600" verticalDpi="600" orientation="landscape" paperSize="9" scale="54"/>
  <headerFooter scaleWithDoc="0" alignWithMargins="0">
    <oddFooter>&amp;C第 &amp;P 页</oddFooter>
  </headerFooter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Zeros="0" view="pageBreakPreview" zoomScaleSheetLayoutView="100" workbookViewId="0" topLeftCell="A4">
      <selection activeCell="I4" sqref="I4"/>
    </sheetView>
  </sheetViews>
  <sheetFormatPr defaultColWidth="8.75390625" defaultRowHeight="14.25"/>
  <cols>
    <col min="1" max="1" width="36.875" style="2" customWidth="1"/>
    <col min="2" max="2" width="20.25390625" style="2" customWidth="1"/>
    <col min="3" max="4" width="14.625" style="2" customWidth="1"/>
    <col min="5" max="10" width="14.625" style="4" customWidth="1"/>
    <col min="11" max="11" width="32.125" style="2" customWidth="1"/>
    <col min="12" max="12" width="8.75390625" style="2" customWidth="1"/>
    <col min="13" max="13" width="13.75390625" style="2" bestFit="1" customWidth="1"/>
    <col min="14" max="14" width="12.625" style="2" bestFit="1" customWidth="1"/>
    <col min="15" max="16384" width="8.75390625" style="2" customWidth="1"/>
  </cols>
  <sheetData>
    <row r="1" spans="1:10" s="1" customFormat="1" ht="27.75" customHeight="1">
      <c r="A1" s="5" t="s">
        <v>160</v>
      </c>
      <c r="B1" s="6"/>
      <c r="E1" s="38"/>
      <c r="F1" s="38"/>
      <c r="G1" s="38"/>
      <c r="H1" s="38"/>
      <c r="I1" s="38"/>
      <c r="J1" s="38"/>
    </row>
    <row r="2" spans="1:11" s="36" customFormat="1" ht="30" customHeight="1">
      <c r="A2" s="39" t="s">
        <v>161</v>
      </c>
      <c r="B2" s="39"/>
      <c r="C2" s="39"/>
      <c r="D2" s="39"/>
      <c r="E2" s="40"/>
      <c r="F2" s="40"/>
      <c r="G2" s="40"/>
      <c r="H2" s="40"/>
      <c r="I2" s="40"/>
      <c r="J2" s="40"/>
      <c r="K2" s="39"/>
    </row>
    <row r="3" spans="1:11" s="37" customFormat="1" ht="30.75" customHeight="1">
      <c r="A3" s="8" t="s">
        <v>2</v>
      </c>
      <c r="B3" s="8" t="s">
        <v>3</v>
      </c>
      <c r="C3" s="10" t="s">
        <v>4</v>
      </c>
      <c r="D3" s="11"/>
      <c r="E3" s="10" t="s">
        <v>5</v>
      </c>
      <c r="F3" s="11"/>
      <c r="G3" s="41" t="s">
        <v>162</v>
      </c>
      <c r="H3" s="41" t="s">
        <v>162</v>
      </c>
      <c r="I3" s="41" t="s">
        <v>162</v>
      </c>
      <c r="J3" s="41" t="s">
        <v>162</v>
      </c>
      <c r="K3" s="8" t="s">
        <v>8</v>
      </c>
    </row>
    <row r="4" spans="1:11" s="37" customFormat="1" ht="27" customHeight="1">
      <c r="A4" s="14"/>
      <c r="B4" s="14"/>
      <c r="C4" s="15" t="s">
        <v>9</v>
      </c>
      <c r="D4" s="15" t="s">
        <v>10</v>
      </c>
      <c r="E4" s="15" t="s">
        <v>9</v>
      </c>
      <c r="F4" s="15" t="s">
        <v>10</v>
      </c>
      <c r="G4" s="42" t="s">
        <v>11</v>
      </c>
      <c r="H4" s="42" t="s">
        <v>12</v>
      </c>
      <c r="I4" s="45" t="s">
        <v>13</v>
      </c>
      <c r="J4" s="42" t="s">
        <v>14</v>
      </c>
      <c r="K4" s="14"/>
    </row>
    <row r="5" spans="1:11" s="4" customFormat="1" ht="33" customHeight="1">
      <c r="A5" s="17" t="s">
        <v>15</v>
      </c>
      <c r="B5" s="17" t="s">
        <v>16</v>
      </c>
      <c r="C5" s="18">
        <v>28</v>
      </c>
      <c r="D5" s="18">
        <v>28</v>
      </c>
      <c r="E5" s="18">
        <v>19</v>
      </c>
      <c r="F5" s="18">
        <v>19</v>
      </c>
      <c r="G5" s="19">
        <f aca="true" t="shared" si="0" ref="G5:G45">D5-C5+F5-E5</f>
        <v>0</v>
      </c>
      <c r="H5" s="19">
        <f>ROUND(SUM(C5,E5)/2,0)</f>
        <v>24</v>
      </c>
      <c r="I5" s="27">
        <f>ROUND(G5/3,2)</f>
        <v>0</v>
      </c>
      <c r="J5" s="19">
        <f>ROUND(SUM(D5,F5)/2,0)</f>
        <v>24</v>
      </c>
      <c r="K5" s="17" t="s">
        <v>163</v>
      </c>
    </row>
    <row r="6" spans="1:11" s="2" customFormat="1" ht="33" customHeight="1">
      <c r="A6" s="21" t="s">
        <v>17</v>
      </c>
      <c r="B6" s="17" t="s">
        <v>18</v>
      </c>
      <c r="C6" s="19">
        <f aca="true" t="shared" si="1" ref="C6:F6">C7</f>
        <v>51370.67</v>
      </c>
      <c r="D6" s="19">
        <f t="shared" si="1"/>
        <v>67050.67</v>
      </c>
      <c r="E6" s="27">
        <f t="shared" si="1"/>
        <v>64064</v>
      </c>
      <c r="F6" s="27">
        <f t="shared" si="1"/>
        <v>60214</v>
      </c>
      <c r="G6" s="19">
        <f t="shared" si="0"/>
        <v>11830</v>
      </c>
      <c r="H6" s="19">
        <f aca="true" t="shared" si="2" ref="H6:H45">ROUND(SUM(C6,E6)/2,2)</f>
        <v>57717.34</v>
      </c>
      <c r="I6" s="27">
        <f>ROUND(G6/3,2)</f>
        <v>3943.33</v>
      </c>
      <c r="J6" s="19">
        <f aca="true" t="shared" si="3" ref="J6:J45">ROUND(SUM(D6,F6)/2,2)</f>
        <v>63632.34</v>
      </c>
      <c r="K6" s="17" t="s">
        <v>19</v>
      </c>
    </row>
    <row r="7" spans="1:11" s="2" customFormat="1" ht="33" customHeight="1">
      <c r="A7" s="23" t="s">
        <v>20</v>
      </c>
      <c r="B7" s="24" t="s">
        <v>21</v>
      </c>
      <c r="C7" s="25">
        <f>'[3]万顺（2021）'!AH15</f>
        <v>51370.67</v>
      </c>
      <c r="D7" s="25">
        <f>'[3]万顺待核定（2021）'!AJ15</f>
        <v>67050.67</v>
      </c>
      <c r="E7" s="43">
        <f>'[3]万顺 (2020)'!AH14</f>
        <v>64064</v>
      </c>
      <c r="F7" s="43">
        <f>'[3]万顺待核定 (2020)'!AJ14</f>
        <v>60214</v>
      </c>
      <c r="G7" s="25">
        <f t="shared" si="0"/>
        <v>11830</v>
      </c>
      <c r="H7" s="25">
        <f t="shared" si="2"/>
        <v>57717.34</v>
      </c>
      <c r="I7" s="43">
        <f aca="true" t="shared" si="4" ref="I7:I45">ROUND(G7/3,2)</f>
        <v>3943.33</v>
      </c>
      <c r="J7" s="25">
        <f t="shared" si="3"/>
        <v>63632.34</v>
      </c>
      <c r="K7" s="46"/>
    </row>
    <row r="8" spans="1:11" s="4" customFormat="1" ht="33" customHeight="1">
      <c r="A8" s="24" t="s">
        <v>22</v>
      </c>
      <c r="B8" s="24" t="s">
        <v>23</v>
      </c>
      <c r="C8" s="25">
        <v>0.58</v>
      </c>
      <c r="D8" s="25">
        <v>0.58</v>
      </c>
      <c r="E8" s="43">
        <v>0.5</v>
      </c>
      <c r="F8" s="43">
        <v>0.5</v>
      </c>
      <c r="G8" s="25">
        <f t="shared" si="0"/>
        <v>0</v>
      </c>
      <c r="H8" s="25">
        <f t="shared" si="2"/>
        <v>0.54</v>
      </c>
      <c r="I8" s="43">
        <f t="shared" si="4"/>
        <v>0</v>
      </c>
      <c r="J8" s="25">
        <f t="shared" si="3"/>
        <v>0.54</v>
      </c>
      <c r="K8" s="46"/>
    </row>
    <row r="9" spans="1:11" s="2" customFormat="1" ht="33" customHeight="1">
      <c r="A9" s="21" t="s">
        <v>24</v>
      </c>
      <c r="B9" s="17" t="s">
        <v>25</v>
      </c>
      <c r="C9" s="19">
        <f>'[3]万顺（2021）'!AF15</f>
        <v>93.33</v>
      </c>
      <c r="D9" s="19">
        <f>'[3]万顺待核定（2021）'!AH15</f>
        <v>155.56</v>
      </c>
      <c r="E9" s="27">
        <f>'[3]万顺 (2020)'!AF14</f>
        <v>112</v>
      </c>
      <c r="F9" s="27">
        <f>'[3]万顺待核定 (2020)'!AH14</f>
        <v>168</v>
      </c>
      <c r="G9" s="19">
        <f t="shared" si="0"/>
        <v>118.23000000000002</v>
      </c>
      <c r="H9" s="19">
        <f t="shared" si="2"/>
        <v>102.67</v>
      </c>
      <c r="I9" s="27">
        <f t="shared" si="4"/>
        <v>39.41</v>
      </c>
      <c r="J9" s="19">
        <f t="shared" si="3"/>
        <v>161.78</v>
      </c>
      <c r="K9" s="47"/>
    </row>
    <row r="10" spans="1:11" s="2" customFormat="1" ht="33" customHeight="1">
      <c r="A10" s="21" t="s">
        <v>26</v>
      </c>
      <c r="B10" s="17" t="s">
        <v>27</v>
      </c>
      <c r="C10" s="19">
        <f aca="true" t="shared" si="5" ref="C10:F10">C6/C9/12</f>
        <v>45.86830779670703</v>
      </c>
      <c r="D10" s="19">
        <f t="shared" si="5"/>
        <v>35.91897552927059</v>
      </c>
      <c r="E10" s="27">
        <f t="shared" si="5"/>
        <v>47.666666666666664</v>
      </c>
      <c r="F10" s="27">
        <f t="shared" si="5"/>
        <v>29.868055555555557</v>
      </c>
      <c r="G10" s="19">
        <f t="shared" si="0"/>
        <v>-27.747943378547546</v>
      </c>
      <c r="H10" s="19">
        <f t="shared" si="2"/>
        <v>46.77</v>
      </c>
      <c r="I10" s="27">
        <f t="shared" si="4"/>
        <v>-9.25</v>
      </c>
      <c r="J10" s="19">
        <f t="shared" si="3"/>
        <v>32.89</v>
      </c>
      <c r="K10" s="17" t="s">
        <v>28</v>
      </c>
    </row>
    <row r="11" spans="1:11" s="2" customFormat="1" ht="33" customHeight="1">
      <c r="A11" s="21" t="s">
        <v>29</v>
      </c>
      <c r="B11" s="17" t="s">
        <v>30</v>
      </c>
      <c r="C11" s="19">
        <v>0.58</v>
      </c>
      <c r="D11" s="19">
        <v>0.58</v>
      </c>
      <c r="E11" s="27">
        <v>0.5</v>
      </c>
      <c r="F11" s="27">
        <v>0.5</v>
      </c>
      <c r="G11" s="19">
        <f t="shared" si="0"/>
        <v>0</v>
      </c>
      <c r="H11" s="19">
        <f t="shared" si="2"/>
        <v>0.54</v>
      </c>
      <c r="I11" s="27">
        <f t="shared" si="4"/>
        <v>0</v>
      </c>
      <c r="J11" s="19">
        <f t="shared" si="3"/>
        <v>0.54</v>
      </c>
      <c r="K11" s="48"/>
    </row>
    <row r="12" spans="1:11" s="2" customFormat="1" ht="33" customHeight="1">
      <c r="A12" s="21" t="s">
        <v>31</v>
      </c>
      <c r="B12" s="17" t="s">
        <v>32</v>
      </c>
      <c r="C12" s="19">
        <f>'[3]万顺（2021）'!AK15</f>
        <v>134337.28</v>
      </c>
      <c r="D12" s="19">
        <f>'[3]万顺待核定（2021）'!AM15</f>
        <v>167899.95</v>
      </c>
      <c r="E12" s="27">
        <f>'[3]万顺 (2020)'!AK14</f>
        <v>151767</v>
      </c>
      <c r="F12" s="27">
        <f>'[3]万顺待核定 (2020)'!AM14</f>
        <v>129244.5</v>
      </c>
      <c r="G12" s="19">
        <f t="shared" si="0"/>
        <v>11040.170000000013</v>
      </c>
      <c r="H12" s="19">
        <f t="shared" si="2"/>
        <v>143052.14</v>
      </c>
      <c r="I12" s="27">
        <f t="shared" si="4"/>
        <v>3680.06</v>
      </c>
      <c r="J12" s="19">
        <f t="shared" si="3"/>
        <v>148572.23</v>
      </c>
      <c r="K12" s="48"/>
    </row>
    <row r="13" spans="1:11" s="2" customFormat="1" ht="33" customHeight="1">
      <c r="A13" s="21" t="s">
        <v>33</v>
      </c>
      <c r="B13" s="17" t="s">
        <v>34</v>
      </c>
      <c r="C13" s="19">
        <f aca="true" t="shared" si="6" ref="C13:F13">SUM(C14:C16)</f>
        <v>0</v>
      </c>
      <c r="D13" s="19">
        <f t="shared" si="6"/>
        <v>7588.67</v>
      </c>
      <c r="E13" s="19">
        <f t="shared" si="6"/>
        <v>0</v>
      </c>
      <c r="F13" s="19">
        <f t="shared" si="6"/>
        <v>4457.63</v>
      </c>
      <c r="G13" s="19">
        <f t="shared" si="0"/>
        <v>12046.3</v>
      </c>
      <c r="H13" s="19">
        <f t="shared" si="2"/>
        <v>0</v>
      </c>
      <c r="I13" s="27">
        <f t="shared" si="4"/>
        <v>4015.43</v>
      </c>
      <c r="J13" s="19">
        <f t="shared" si="3"/>
        <v>6023.15</v>
      </c>
      <c r="K13" s="17" t="s">
        <v>164</v>
      </c>
    </row>
    <row r="14" spans="1:11" s="2" customFormat="1" ht="33" customHeight="1">
      <c r="A14" s="23" t="s">
        <v>36</v>
      </c>
      <c r="B14" s="24" t="s">
        <v>37</v>
      </c>
      <c r="C14" s="25">
        <f>'[3]万顺（2021）'!AJ15</f>
        <v>0</v>
      </c>
      <c r="D14" s="25">
        <f>'[3]万顺待核定（2021）'!AL15</f>
        <v>7588.67</v>
      </c>
      <c r="E14" s="43">
        <f>'[3]万顺 (2020)'!AJ14</f>
        <v>0</v>
      </c>
      <c r="F14" s="43">
        <f>'[3]万顺待核定 (2020)'!AL14</f>
        <v>4457.63</v>
      </c>
      <c r="G14" s="25">
        <f t="shared" si="0"/>
        <v>12046.3</v>
      </c>
      <c r="H14" s="25">
        <f t="shared" si="2"/>
        <v>0</v>
      </c>
      <c r="I14" s="43">
        <f t="shared" si="4"/>
        <v>4015.43</v>
      </c>
      <c r="J14" s="25">
        <f t="shared" si="3"/>
        <v>6023.15</v>
      </c>
      <c r="K14" s="24"/>
    </row>
    <row r="15" spans="1:11" s="2" customFormat="1" ht="33" customHeight="1">
      <c r="A15" s="23" t="s">
        <v>39</v>
      </c>
      <c r="B15" s="24" t="s">
        <v>40</v>
      </c>
      <c r="C15" s="25">
        <f>'[3]万顺（2021）'!AI15</f>
        <v>0</v>
      </c>
      <c r="D15" s="25"/>
      <c r="E15" s="43">
        <f>'[3]万顺 (2020)'!AI14</f>
        <v>0</v>
      </c>
      <c r="F15" s="43"/>
      <c r="G15" s="19">
        <f t="shared" si="0"/>
        <v>0</v>
      </c>
      <c r="H15" s="19">
        <f t="shared" si="2"/>
        <v>0</v>
      </c>
      <c r="I15" s="27">
        <f t="shared" si="4"/>
        <v>0</v>
      </c>
      <c r="J15" s="19">
        <f t="shared" si="3"/>
        <v>0</v>
      </c>
      <c r="K15" s="24"/>
    </row>
    <row r="16" spans="1:11" s="2" customFormat="1" ht="33" customHeight="1">
      <c r="A16" s="23" t="s">
        <v>41</v>
      </c>
      <c r="B16" s="24" t="s">
        <v>42</v>
      </c>
      <c r="C16" s="25"/>
      <c r="D16" s="25"/>
      <c r="E16" s="43"/>
      <c r="F16" s="43"/>
      <c r="G16" s="19">
        <f t="shared" si="0"/>
        <v>0</v>
      </c>
      <c r="H16" s="19">
        <f t="shared" si="2"/>
        <v>0</v>
      </c>
      <c r="I16" s="27">
        <f t="shared" si="4"/>
        <v>0</v>
      </c>
      <c r="J16" s="19">
        <f t="shared" si="3"/>
        <v>0</v>
      </c>
      <c r="K16" s="49"/>
    </row>
    <row r="17" spans="1:11" s="2" customFormat="1" ht="33" customHeight="1">
      <c r="A17" s="21" t="s">
        <v>43</v>
      </c>
      <c r="B17" s="17" t="s">
        <v>44</v>
      </c>
      <c r="C17" s="19">
        <f aca="true" t="shared" si="7" ref="C17:F17">C18+C21+C23+C24+C25+C26+C32</f>
        <v>165046.02999999997</v>
      </c>
      <c r="D17" s="19">
        <f t="shared" si="7"/>
        <v>174573.09000000003</v>
      </c>
      <c r="E17" s="27">
        <f t="shared" si="7"/>
        <v>170852.65000000002</v>
      </c>
      <c r="F17" s="27">
        <f t="shared" si="7"/>
        <v>154552.88</v>
      </c>
      <c r="G17" s="19">
        <f t="shared" si="0"/>
        <v>-6772.709999999963</v>
      </c>
      <c r="H17" s="19">
        <f t="shared" si="2"/>
        <v>167949.34</v>
      </c>
      <c r="I17" s="27">
        <f t="shared" si="4"/>
        <v>-2257.57</v>
      </c>
      <c r="J17" s="19">
        <f t="shared" si="3"/>
        <v>164562.99</v>
      </c>
      <c r="K17" s="48"/>
    </row>
    <row r="18" spans="1:11" s="2" customFormat="1" ht="33" customHeight="1">
      <c r="A18" s="23" t="s">
        <v>45</v>
      </c>
      <c r="B18" s="24" t="s">
        <v>46</v>
      </c>
      <c r="C18" s="25">
        <f aca="true" t="shared" si="8" ref="C18:F18">C19+C20</f>
        <v>62198.4</v>
      </c>
      <c r="D18" s="25">
        <f t="shared" si="8"/>
        <v>83782.4</v>
      </c>
      <c r="E18" s="43">
        <f t="shared" si="8"/>
        <v>56872.8</v>
      </c>
      <c r="F18" s="43">
        <f t="shared" si="8"/>
        <v>72096.6</v>
      </c>
      <c r="G18" s="25">
        <f t="shared" si="0"/>
        <v>36807.8</v>
      </c>
      <c r="H18" s="25">
        <f t="shared" si="2"/>
        <v>59535.6</v>
      </c>
      <c r="I18" s="43">
        <f t="shared" si="4"/>
        <v>12269.27</v>
      </c>
      <c r="J18" s="25">
        <f t="shared" si="3"/>
        <v>77939.5</v>
      </c>
      <c r="K18" s="24" t="s">
        <v>47</v>
      </c>
    </row>
    <row r="19" spans="1:11" s="2" customFormat="1" ht="33" customHeight="1">
      <c r="A19" s="23" t="s">
        <v>48</v>
      </c>
      <c r="B19" s="24" t="s">
        <v>49</v>
      </c>
      <c r="C19" s="25">
        <f>'[3]万顺（2021）'!N15</f>
        <v>54000</v>
      </c>
      <c r="D19" s="25">
        <f>'[3]万顺待核定（2021）'!O15</f>
        <v>74520</v>
      </c>
      <c r="E19" s="43">
        <f>'[3]万顺 (2020)'!N14</f>
        <v>50400</v>
      </c>
      <c r="F19" s="43">
        <f>'[3]万顺待核定 (2020)'!O14</f>
        <v>63503</v>
      </c>
      <c r="G19" s="25">
        <f t="shared" si="0"/>
        <v>33623</v>
      </c>
      <c r="H19" s="25">
        <f t="shared" si="2"/>
        <v>52200</v>
      </c>
      <c r="I19" s="43">
        <f t="shared" si="4"/>
        <v>11207.67</v>
      </c>
      <c r="J19" s="25">
        <f t="shared" si="3"/>
        <v>69011.5</v>
      </c>
      <c r="K19" s="46"/>
    </row>
    <row r="20" spans="1:11" s="2" customFormat="1" ht="42" customHeight="1">
      <c r="A20" s="23" t="s">
        <v>51</v>
      </c>
      <c r="B20" s="24" t="s">
        <v>52</v>
      </c>
      <c r="C20" s="25">
        <f>'[3]万顺（2021）'!O15</f>
        <v>8198.4</v>
      </c>
      <c r="D20" s="25">
        <f>'[3]万顺待核定（2021）'!P15+'[3]万顺待核定（2021）'!Q15</f>
        <v>9262.4</v>
      </c>
      <c r="E20" s="43">
        <f>'[3]万顺 (2020)'!O14</f>
        <v>6472.8</v>
      </c>
      <c r="F20" s="43">
        <f>'[3]万顺待核定 (2020)'!P14+'[3]万顺待核定 (2020)'!Q14</f>
        <v>8593.6</v>
      </c>
      <c r="G20" s="25">
        <f t="shared" si="0"/>
        <v>3184.8</v>
      </c>
      <c r="H20" s="25">
        <f t="shared" si="2"/>
        <v>7335.6</v>
      </c>
      <c r="I20" s="43">
        <f t="shared" si="4"/>
        <v>1061.6</v>
      </c>
      <c r="J20" s="25">
        <f t="shared" si="3"/>
        <v>8928</v>
      </c>
      <c r="K20" s="46" t="s">
        <v>165</v>
      </c>
    </row>
    <row r="21" spans="1:11" s="2" customFormat="1" ht="33" customHeight="1">
      <c r="A21" s="24" t="s">
        <v>54</v>
      </c>
      <c r="B21" s="24" t="s">
        <v>55</v>
      </c>
      <c r="C21" s="25">
        <f>'[9]万顺（2021）'!L15</f>
        <v>16639.55</v>
      </c>
      <c r="D21" s="25">
        <f>'[9]万顺待核定（2021）'!L15</f>
        <v>9178.19</v>
      </c>
      <c r="E21" s="43">
        <f>'[9]万顺 (2020)'!L14</f>
        <v>15872.49</v>
      </c>
      <c r="F21" s="43">
        <f>'[9]万顺待核定 (2020)'!L14</f>
        <v>8996.86</v>
      </c>
      <c r="G21" s="25">
        <f t="shared" si="0"/>
        <v>-14336.989999999998</v>
      </c>
      <c r="H21" s="25">
        <f t="shared" si="2"/>
        <v>16256.02</v>
      </c>
      <c r="I21" s="43">
        <f t="shared" si="4"/>
        <v>-4779</v>
      </c>
      <c r="J21" s="25">
        <f t="shared" si="3"/>
        <v>9087.53</v>
      </c>
      <c r="K21" s="46" t="s">
        <v>56</v>
      </c>
    </row>
    <row r="22" spans="1:11" s="2" customFormat="1" ht="33" customHeight="1">
      <c r="A22" s="24" t="s">
        <v>57</v>
      </c>
      <c r="B22" s="24" t="s">
        <v>58</v>
      </c>
      <c r="C22" s="25">
        <f>'[9]万顺（2021）'!I15</f>
        <v>7</v>
      </c>
      <c r="D22" s="25">
        <f>'[9]万顺待核定（2021）'!I15</f>
        <v>12.22</v>
      </c>
      <c r="E22" s="43">
        <v>7</v>
      </c>
      <c r="F22" s="43">
        <f>'[9]万顺待核定 (2020)'!I14</f>
        <v>11.88</v>
      </c>
      <c r="G22" s="25">
        <f t="shared" si="0"/>
        <v>10.100000000000001</v>
      </c>
      <c r="H22" s="25">
        <f t="shared" si="2"/>
        <v>7</v>
      </c>
      <c r="I22" s="43">
        <f t="shared" si="4"/>
        <v>3.37</v>
      </c>
      <c r="J22" s="25">
        <f t="shared" si="3"/>
        <v>12.05</v>
      </c>
      <c r="K22" s="24" t="s">
        <v>59</v>
      </c>
    </row>
    <row r="23" spans="1:11" s="2" customFormat="1" ht="33" customHeight="1">
      <c r="A23" s="23" t="s">
        <v>60</v>
      </c>
      <c r="B23" s="24" t="s">
        <v>61</v>
      </c>
      <c r="C23" s="25">
        <f>'[3]万顺（2021）'!P15</f>
        <v>10740.75</v>
      </c>
      <c r="D23" s="25">
        <f>'[3]万顺待核定（2021）'!R15</f>
        <v>10740.75</v>
      </c>
      <c r="E23" s="43">
        <f>'[3]万顺 (2020)'!P14</f>
        <v>9952.25</v>
      </c>
      <c r="F23" s="43">
        <f>'[3]万顺待核定 (2020)'!R14</f>
        <v>9952.25</v>
      </c>
      <c r="G23" s="25">
        <f t="shared" si="0"/>
        <v>0</v>
      </c>
      <c r="H23" s="25">
        <f t="shared" si="2"/>
        <v>10346.5</v>
      </c>
      <c r="I23" s="43">
        <f t="shared" si="4"/>
        <v>0</v>
      </c>
      <c r="J23" s="25">
        <f t="shared" si="3"/>
        <v>10346.5</v>
      </c>
      <c r="K23" s="46" t="s">
        <v>38</v>
      </c>
    </row>
    <row r="24" spans="1:11" s="2" customFormat="1" ht="45" customHeight="1">
      <c r="A24" s="23" t="s">
        <v>62</v>
      </c>
      <c r="B24" s="24" t="s">
        <v>63</v>
      </c>
      <c r="C24" s="25">
        <f>'[3]万顺（2021）'!Q15</f>
        <v>55858.88</v>
      </c>
      <c r="D24" s="25">
        <f>'[3]万顺待核定（2021）'!S15</f>
        <v>53580.8</v>
      </c>
      <c r="E24" s="43">
        <f>'[3]万顺 (2020)'!Q14</f>
        <v>68553.61</v>
      </c>
      <c r="F24" s="43">
        <f>'[3]万顺待核定 (2020)'!S14</f>
        <v>46419.11</v>
      </c>
      <c r="G24" s="25">
        <f t="shared" si="0"/>
        <v>-24412.579999999994</v>
      </c>
      <c r="H24" s="25">
        <f t="shared" si="2"/>
        <v>62206.25</v>
      </c>
      <c r="I24" s="43">
        <f t="shared" si="4"/>
        <v>-8137.53</v>
      </c>
      <c r="J24" s="25">
        <f t="shared" si="3"/>
        <v>49999.96</v>
      </c>
      <c r="K24" s="46" t="s">
        <v>64</v>
      </c>
    </row>
    <row r="25" spans="1:11" s="2" customFormat="1" ht="49.5" customHeight="1">
      <c r="A25" s="23" t="s">
        <v>65</v>
      </c>
      <c r="B25" s="24" t="s">
        <v>66</v>
      </c>
      <c r="C25" s="25">
        <f>'[3]万顺（2021）'!V15+'[3]万顺（2021）'!U15</f>
        <v>10528.89</v>
      </c>
      <c r="D25" s="25">
        <f>'[3]万顺待核定（2021）'!X15+'[3]万顺待核定（2021）'!W15</f>
        <v>8211.39</v>
      </c>
      <c r="E25" s="43">
        <f>'[3]万顺 (2020)'!V14+'[3]万顺 (2020)'!U14</f>
        <v>10517.5</v>
      </c>
      <c r="F25" s="43">
        <f>'[3]万顺待核定 (2020)'!W14+'[3]万顺待核定 (2020)'!X14</f>
        <v>8004.06</v>
      </c>
      <c r="G25" s="25">
        <f t="shared" si="0"/>
        <v>-4830.94</v>
      </c>
      <c r="H25" s="25">
        <f t="shared" si="2"/>
        <v>10523.2</v>
      </c>
      <c r="I25" s="43">
        <f t="shared" si="4"/>
        <v>-1610.31</v>
      </c>
      <c r="J25" s="25">
        <f t="shared" si="3"/>
        <v>8107.73</v>
      </c>
      <c r="K25" s="46" t="s">
        <v>158</v>
      </c>
    </row>
    <row r="26" spans="1:11" s="2" customFormat="1" ht="30" customHeight="1">
      <c r="A26" s="23" t="s">
        <v>68</v>
      </c>
      <c r="B26" s="24" t="s">
        <v>69</v>
      </c>
      <c r="C26" s="25">
        <f aca="true" t="shared" si="9" ref="C26:F26">SUM(C27:C31)</f>
        <v>7879.5599999999995</v>
      </c>
      <c r="D26" s="25">
        <f t="shared" si="9"/>
        <v>7879.5599999999995</v>
      </c>
      <c r="E26" s="43">
        <f t="shared" si="9"/>
        <v>7884</v>
      </c>
      <c r="F26" s="43">
        <f t="shared" si="9"/>
        <v>7884</v>
      </c>
      <c r="G26" s="25">
        <f t="shared" si="0"/>
        <v>0</v>
      </c>
      <c r="H26" s="25">
        <f t="shared" si="2"/>
        <v>7881.78</v>
      </c>
      <c r="I26" s="43">
        <f t="shared" si="4"/>
        <v>0</v>
      </c>
      <c r="J26" s="25">
        <f t="shared" si="3"/>
        <v>7881.78</v>
      </c>
      <c r="K26" s="46" t="s">
        <v>38</v>
      </c>
    </row>
    <row r="27" spans="1:11" s="2" customFormat="1" ht="30" customHeight="1">
      <c r="A27" s="23" t="s">
        <v>70</v>
      </c>
      <c r="B27" s="24" t="s">
        <v>71</v>
      </c>
      <c r="C27" s="25"/>
      <c r="D27" s="25"/>
      <c r="E27" s="43"/>
      <c r="F27" s="43"/>
      <c r="G27" s="25">
        <f t="shared" si="0"/>
        <v>0</v>
      </c>
      <c r="H27" s="25">
        <f t="shared" si="2"/>
        <v>0</v>
      </c>
      <c r="I27" s="43">
        <f t="shared" si="4"/>
        <v>0</v>
      </c>
      <c r="J27" s="25">
        <f t="shared" si="3"/>
        <v>0</v>
      </c>
      <c r="K27" s="50"/>
    </row>
    <row r="28" spans="1:11" s="2" customFormat="1" ht="30" customHeight="1">
      <c r="A28" s="23" t="s">
        <v>72</v>
      </c>
      <c r="B28" s="24" t="s">
        <v>73</v>
      </c>
      <c r="C28" s="25"/>
      <c r="D28" s="25"/>
      <c r="E28" s="43"/>
      <c r="F28" s="43"/>
      <c r="G28" s="25">
        <f t="shared" si="0"/>
        <v>0</v>
      </c>
      <c r="H28" s="25">
        <f t="shared" si="2"/>
        <v>0</v>
      </c>
      <c r="I28" s="43">
        <f t="shared" si="4"/>
        <v>0</v>
      </c>
      <c r="J28" s="25">
        <f t="shared" si="3"/>
        <v>0</v>
      </c>
      <c r="K28" s="50"/>
    </row>
    <row r="29" spans="1:11" s="2" customFormat="1" ht="30" customHeight="1">
      <c r="A29" s="23" t="s">
        <v>74</v>
      </c>
      <c r="B29" s="24" t="s">
        <v>75</v>
      </c>
      <c r="C29" s="25">
        <f>'[3]万顺（2021）'!R15</f>
        <v>360</v>
      </c>
      <c r="D29" s="25">
        <f>'[3]万顺待核定（2021）'!T15</f>
        <v>360</v>
      </c>
      <c r="E29" s="43">
        <f>'[3]万顺 (2020)'!R14</f>
        <v>360</v>
      </c>
      <c r="F29" s="43">
        <f>'[3]万顺待核定 (2020)'!T14</f>
        <v>360</v>
      </c>
      <c r="G29" s="25">
        <f t="shared" si="0"/>
        <v>0</v>
      </c>
      <c r="H29" s="25">
        <f t="shared" si="2"/>
        <v>360</v>
      </c>
      <c r="I29" s="43">
        <f t="shared" si="4"/>
        <v>0</v>
      </c>
      <c r="J29" s="25">
        <f t="shared" si="3"/>
        <v>360</v>
      </c>
      <c r="K29" s="50"/>
    </row>
    <row r="30" spans="1:11" s="2" customFormat="1" ht="30" customHeight="1">
      <c r="A30" s="23" t="s">
        <v>76</v>
      </c>
      <c r="B30" s="24" t="s">
        <v>77</v>
      </c>
      <c r="C30" s="25">
        <f>'[3]万顺（2021）'!W15</f>
        <v>960</v>
      </c>
      <c r="D30" s="25">
        <f>'[3]万顺待核定（2021）'!Y15</f>
        <v>960</v>
      </c>
      <c r="E30" s="43">
        <f>'[3]万顺 (2020)'!W14</f>
        <v>960</v>
      </c>
      <c r="F30" s="43">
        <f>'[3]万顺待核定 (2020)'!Y14</f>
        <v>960</v>
      </c>
      <c r="G30" s="25">
        <f t="shared" si="0"/>
        <v>0</v>
      </c>
      <c r="H30" s="25">
        <f t="shared" si="2"/>
        <v>960</v>
      </c>
      <c r="I30" s="43">
        <f t="shared" si="4"/>
        <v>0</v>
      </c>
      <c r="J30" s="25">
        <f t="shared" si="3"/>
        <v>960</v>
      </c>
      <c r="K30" s="50"/>
    </row>
    <row r="31" spans="1:11" s="2" customFormat="1" ht="30" customHeight="1">
      <c r="A31" s="23" t="s">
        <v>78</v>
      </c>
      <c r="B31" s="24" t="s">
        <v>79</v>
      </c>
      <c r="C31" s="25">
        <f>'[3]万顺（2021）'!S15+'[3]万顺（2021）'!T15+'[3]万顺（2021）'!X15+'[3]万顺（2021）'!Y15</f>
        <v>6559.5599999999995</v>
      </c>
      <c r="D31" s="25">
        <f>'[3]万顺待核定（2021）'!U15+'[3]万顺待核定（2021）'!V15+'[3]万顺待核定（2021）'!Z15+'[3]万顺待核定（2021）'!AA15</f>
        <v>6559.5599999999995</v>
      </c>
      <c r="E31" s="43">
        <f>'[3]万顺 (2020)'!S14+'[3]万顺 (2020)'!T14+'[3]万顺 (2020)'!X14+'[3]万顺 (2020)'!Y14</f>
        <v>6564</v>
      </c>
      <c r="F31" s="43">
        <f>'[3]万顺待核定 (2020)'!U14+'[3]万顺待核定 (2020)'!V14+'[3]万顺待核定 (2020)'!Z14+'[3]万顺待核定 (2020)'!AA14</f>
        <v>6564</v>
      </c>
      <c r="G31" s="25">
        <f t="shared" si="0"/>
        <v>0</v>
      </c>
      <c r="H31" s="25">
        <f t="shared" si="2"/>
        <v>6561.78</v>
      </c>
      <c r="I31" s="43">
        <f t="shared" si="4"/>
        <v>0</v>
      </c>
      <c r="J31" s="25">
        <f t="shared" si="3"/>
        <v>6561.78</v>
      </c>
      <c r="K31" s="50"/>
    </row>
    <row r="32" spans="1:11" s="2" customFormat="1" ht="30" customHeight="1">
      <c r="A32" s="23" t="s">
        <v>80</v>
      </c>
      <c r="B32" s="24" t="s">
        <v>81</v>
      </c>
      <c r="C32" s="25">
        <f>'[3]万顺（2021）'!Z15</f>
        <v>1200</v>
      </c>
      <c r="D32" s="25">
        <f>'[3]万顺待核定（2021）'!AB15</f>
        <v>1200</v>
      </c>
      <c r="E32" s="43">
        <f>'[3]万顺 (2020)'!Z14</f>
        <v>1200</v>
      </c>
      <c r="F32" s="43">
        <f>'[3]万顺待核定 (2020)'!AB14</f>
        <v>1200</v>
      </c>
      <c r="G32" s="25">
        <f t="shared" si="0"/>
        <v>0</v>
      </c>
      <c r="H32" s="25">
        <f t="shared" si="2"/>
        <v>1200</v>
      </c>
      <c r="I32" s="43">
        <f t="shared" si="4"/>
        <v>0</v>
      </c>
      <c r="J32" s="25">
        <f t="shared" si="3"/>
        <v>1200</v>
      </c>
      <c r="K32" s="50"/>
    </row>
    <row r="33" spans="1:11" s="2" customFormat="1" ht="30" customHeight="1">
      <c r="A33" s="21" t="s">
        <v>82</v>
      </c>
      <c r="B33" s="17" t="s">
        <v>83</v>
      </c>
      <c r="C33" s="19">
        <f aca="true" t="shared" si="10" ref="C33:F33">SUM(C34:C38)</f>
        <v>5573.33</v>
      </c>
      <c r="D33" s="19">
        <f t="shared" si="10"/>
        <v>7063.73</v>
      </c>
      <c r="E33" s="27">
        <f t="shared" si="10"/>
        <v>5520</v>
      </c>
      <c r="F33" s="27">
        <f t="shared" si="10"/>
        <v>6790.0599999999995</v>
      </c>
      <c r="G33" s="19">
        <f t="shared" si="0"/>
        <v>2760.459999999999</v>
      </c>
      <c r="H33" s="19">
        <f t="shared" si="2"/>
        <v>5546.67</v>
      </c>
      <c r="I33" s="27">
        <f t="shared" si="4"/>
        <v>920.15</v>
      </c>
      <c r="J33" s="19">
        <f t="shared" si="3"/>
        <v>6926.9</v>
      </c>
      <c r="K33" s="17" t="s">
        <v>38</v>
      </c>
    </row>
    <row r="34" spans="1:11" s="2" customFormat="1" ht="30" customHeight="1">
      <c r="A34" s="23" t="s">
        <v>84</v>
      </c>
      <c r="B34" s="24" t="s">
        <v>85</v>
      </c>
      <c r="C34" s="25"/>
      <c r="D34" s="25"/>
      <c r="E34" s="43"/>
      <c r="F34" s="43"/>
      <c r="G34" s="25">
        <f t="shared" si="0"/>
        <v>0</v>
      </c>
      <c r="H34" s="25">
        <f t="shared" si="2"/>
        <v>0</v>
      </c>
      <c r="I34" s="43">
        <f t="shared" si="4"/>
        <v>0</v>
      </c>
      <c r="J34" s="25">
        <f t="shared" si="3"/>
        <v>0</v>
      </c>
      <c r="K34" s="17"/>
    </row>
    <row r="35" spans="1:11" s="2" customFormat="1" ht="30" customHeight="1">
      <c r="A35" s="32" t="s">
        <v>86</v>
      </c>
      <c r="B35" s="24" t="s">
        <v>87</v>
      </c>
      <c r="C35" s="25">
        <f>'[3]万顺（2021）'!M15</f>
        <v>5573.33</v>
      </c>
      <c r="D35" s="25">
        <f>'[3]万顺待核定（2021）'!M15</f>
        <v>5573.33</v>
      </c>
      <c r="E35" s="43">
        <f>'[3]万顺 (2020)'!M14</f>
        <v>5520</v>
      </c>
      <c r="F35" s="43">
        <f>'[3]万顺待核定 (2020)'!M14</f>
        <v>5520</v>
      </c>
      <c r="G35" s="25">
        <f t="shared" si="0"/>
        <v>0</v>
      </c>
      <c r="H35" s="25">
        <f t="shared" si="2"/>
        <v>5546.67</v>
      </c>
      <c r="I35" s="43">
        <f t="shared" si="4"/>
        <v>0</v>
      </c>
      <c r="J35" s="25">
        <f t="shared" si="3"/>
        <v>5546.67</v>
      </c>
      <c r="K35" s="24" t="s">
        <v>38</v>
      </c>
    </row>
    <row r="36" spans="1:11" s="2" customFormat="1" ht="30" customHeight="1">
      <c r="A36" s="23" t="s">
        <v>88</v>
      </c>
      <c r="B36" s="24" t="s">
        <v>89</v>
      </c>
      <c r="C36" s="25"/>
      <c r="D36" s="25"/>
      <c r="E36" s="43"/>
      <c r="F36" s="43"/>
      <c r="G36" s="25">
        <f t="shared" si="0"/>
        <v>0</v>
      </c>
      <c r="H36" s="25">
        <f t="shared" si="2"/>
        <v>0</v>
      </c>
      <c r="I36" s="43">
        <f t="shared" si="4"/>
        <v>0</v>
      </c>
      <c r="J36" s="25">
        <f t="shared" si="3"/>
        <v>0</v>
      </c>
      <c r="K36" s="17"/>
    </row>
    <row r="37" spans="1:11" s="2" customFormat="1" ht="30" customHeight="1">
      <c r="A37" s="23" t="s">
        <v>90</v>
      </c>
      <c r="B37" s="24" t="s">
        <v>91</v>
      </c>
      <c r="C37" s="25"/>
      <c r="D37" s="25">
        <f>'[3]万顺待核定（2021）'!N15</f>
        <v>1490.4</v>
      </c>
      <c r="E37" s="43"/>
      <c r="F37" s="43">
        <f>'[3]万顺待核定 (2020)'!N14</f>
        <v>1270.06</v>
      </c>
      <c r="G37" s="25">
        <f t="shared" si="0"/>
        <v>2760.46</v>
      </c>
      <c r="H37" s="25">
        <f t="shared" si="2"/>
        <v>0</v>
      </c>
      <c r="I37" s="43">
        <f t="shared" si="4"/>
        <v>920.15</v>
      </c>
      <c r="J37" s="25">
        <f t="shared" si="3"/>
        <v>1380.23</v>
      </c>
      <c r="K37" s="17"/>
    </row>
    <row r="38" spans="1:11" s="2" customFormat="1" ht="30" customHeight="1">
      <c r="A38" s="23" t="s">
        <v>92</v>
      </c>
      <c r="B38" s="24" t="s">
        <v>93</v>
      </c>
      <c r="C38" s="25"/>
      <c r="D38" s="25"/>
      <c r="E38" s="43"/>
      <c r="F38" s="43"/>
      <c r="G38" s="25">
        <f t="shared" si="0"/>
        <v>0</v>
      </c>
      <c r="H38" s="25">
        <f t="shared" si="2"/>
        <v>0</v>
      </c>
      <c r="I38" s="43">
        <f t="shared" si="4"/>
        <v>0</v>
      </c>
      <c r="J38" s="25">
        <f t="shared" si="3"/>
        <v>0</v>
      </c>
      <c r="K38" s="48"/>
    </row>
    <row r="39" spans="1:11" s="2" customFormat="1" ht="30" customHeight="1">
      <c r="A39" s="21" t="s">
        <v>94</v>
      </c>
      <c r="B39" s="17" t="s">
        <v>95</v>
      </c>
      <c r="C39" s="19"/>
      <c r="D39" s="19"/>
      <c r="E39" s="27"/>
      <c r="F39" s="27"/>
      <c r="G39" s="25">
        <f t="shared" si="0"/>
        <v>0</v>
      </c>
      <c r="H39" s="25">
        <f t="shared" si="2"/>
        <v>0</v>
      </c>
      <c r="I39" s="43">
        <f t="shared" si="4"/>
        <v>0</v>
      </c>
      <c r="J39" s="25">
        <f t="shared" si="3"/>
        <v>0</v>
      </c>
      <c r="K39" s="48"/>
    </row>
    <row r="40" spans="1:11" s="2" customFormat="1" ht="30" customHeight="1">
      <c r="A40" s="21" t="s">
        <v>96</v>
      </c>
      <c r="B40" s="17" t="s">
        <v>97</v>
      </c>
      <c r="C40" s="19">
        <f aca="true" t="shared" si="11" ref="C40:F40">C17+C33+C39</f>
        <v>170619.35999999996</v>
      </c>
      <c r="D40" s="19">
        <f t="shared" si="11"/>
        <v>181636.82000000004</v>
      </c>
      <c r="E40" s="27">
        <f t="shared" si="11"/>
        <v>176372.65000000002</v>
      </c>
      <c r="F40" s="27">
        <f t="shared" si="11"/>
        <v>161342.94</v>
      </c>
      <c r="G40" s="19">
        <f t="shared" si="0"/>
        <v>-4012.249999999942</v>
      </c>
      <c r="H40" s="19">
        <f t="shared" si="2"/>
        <v>173496.01</v>
      </c>
      <c r="I40" s="27">
        <f t="shared" si="4"/>
        <v>-1337.42</v>
      </c>
      <c r="J40" s="19">
        <f t="shared" si="3"/>
        <v>171489.88</v>
      </c>
      <c r="K40" s="17" t="s">
        <v>98</v>
      </c>
    </row>
    <row r="41" spans="1:11" s="2" customFormat="1" ht="30" customHeight="1">
      <c r="A41" s="21" t="s">
        <v>99</v>
      </c>
      <c r="B41" s="17" t="s">
        <v>100</v>
      </c>
      <c r="C41" s="19">
        <f aca="true" t="shared" si="12" ref="C41:F41">C40-C13</f>
        <v>170619.35999999996</v>
      </c>
      <c r="D41" s="19">
        <f t="shared" si="12"/>
        <v>174048.15000000002</v>
      </c>
      <c r="E41" s="27">
        <f t="shared" si="12"/>
        <v>176372.65000000002</v>
      </c>
      <c r="F41" s="27">
        <f t="shared" si="12"/>
        <v>156885.31</v>
      </c>
      <c r="G41" s="19">
        <f t="shared" si="0"/>
        <v>-16058.54999999996</v>
      </c>
      <c r="H41" s="19">
        <f t="shared" si="2"/>
        <v>173496.01</v>
      </c>
      <c r="I41" s="27">
        <f t="shared" si="4"/>
        <v>-5352.85</v>
      </c>
      <c r="J41" s="19">
        <f t="shared" si="3"/>
        <v>165466.73</v>
      </c>
      <c r="K41" s="17"/>
    </row>
    <row r="42" spans="1:11" s="2" customFormat="1" ht="30" customHeight="1">
      <c r="A42" s="21" t="s">
        <v>101</v>
      </c>
      <c r="B42" s="17" t="s">
        <v>102</v>
      </c>
      <c r="C42" s="18">
        <f>'[3]万顺（2021）'!AB15</f>
        <v>6799.15</v>
      </c>
      <c r="D42" s="18">
        <f>'[3]万顺待核定（2021）'!AD15</f>
        <v>11259.73</v>
      </c>
      <c r="E42" s="18">
        <f>'[3]万顺 (2020)'!AB14</f>
        <v>6468</v>
      </c>
      <c r="F42" s="18">
        <f>'[3]万顺待核定 (2020)'!AD14</f>
        <v>9509.5</v>
      </c>
      <c r="G42" s="19">
        <f t="shared" si="0"/>
        <v>7502.08</v>
      </c>
      <c r="H42" s="19">
        <f t="shared" si="2"/>
        <v>6633.58</v>
      </c>
      <c r="I42" s="27">
        <f t="shared" si="4"/>
        <v>2500.69</v>
      </c>
      <c r="J42" s="19">
        <f t="shared" si="3"/>
        <v>10384.62</v>
      </c>
      <c r="K42" s="17" t="s">
        <v>103</v>
      </c>
    </row>
    <row r="43" spans="1:11" s="2" customFormat="1" ht="30" customHeight="1">
      <c r="A43" s="21" t="s">
        <v>104</v>
      </c>
      <c r="B43" s="17" t="s">
        <v>105</v>
      </c>
      <c r="C43" s="19">
        <f aca="true" t="shared" si="13" ref="C43:F43">C40/C42</f>
        <v>25.094219130332462</v>
      </c>
      <c r="D43" s="19">
        <f t="shared" si="13"/>
        <v>16.131543118707114</v>
      </c>
      <c r="E43" s="27">
        <f t="shared" si="13"/>
        <v>27.268498763141626</v>
      </c>
      <c r="F43" s="27">
        <f t="shared" si="13"/>
        <v>16.9665008675535</v>
      </c>
      <c r="G43" s="19">
        <f t="shared" si="0"/>
        <v>-19.264673907213474</v>
      </c>
      <c r="H43" s="19">
        <f t="shared" si="2"/>
        <v>26.18</v>
      </c>
      <c r="I43" s="27">
        <f t="shared" si="4"/>
        <v>-6.42</v>
      </c>
      <c r="J43" s="19">
        <f t="shared" si="3"/>
        <v>16.55</v>
      </c>
      <c r="K43" s="17" t="s">
        <v>106</v>
      </c>
    </row>
    <row r="44" spans="1:11" s="2" customFormat="1" ht="30" customHeight="1">
      <c r="A44" s="21" t="s">
        <v>107</v>
      </c>
      <c r="B44" s="17" t="s">
        <v>108</v>
      </c>
      <c r="C44" s="19">
        <f aca="true" t="shared" si="14" ref="C44:F44">C43/C10</f>
        <v>0.5470927604644273</v>
      </c>
      <c r="D44" s="19">
        <f t="shared" si="14"/>
        <v>0.4491092209899311</v>
      </c>
      <c r="E44" s="27">
        <f t="shared" si="14"/>
        <v>0.5720664076183558</v>
      </c>
      <c r="F44" s="27">
        <f t="shared" si="14"/>
        <v>0.5680483898925143</v>
      </c>
      <c r="G44" s="19">
        <f t="shared" si="0"/>
        <v>-0.10200155720033777</v>
      </c>
      <c r="H44" s="19">
        <f t="shared" si="2"/>
        <v>0.56</v>
      </c>
      <c r="I44" s="27">
        <f t="shared" si="4"/>
        <v>-0.03</v>
      </c>
      <c r="J44" s="19">
        <f t="shared" si="3"/>
        <v>0.51</v>
      </c>
      <c r="K44" s="50"/>
    </row>
    <row r="45" spans="1:11" s="2" customFormat="1" ht="30" customHeight="1">
      <c r="A45" s="21" t="s">
        <v>109</v>
      </c>
      <c r="B45" s="17" t="s">
        <v>110</v>
      </c>
      <c r="C45" s="19">
        <f>'[3]万顺（2021）'!AD15</f>
        <v>59.11</v>
      </c>
      <c r="D45" s="19">
        <f>'[3]万顺待核定（2021）'!AF15</f>
        <v>59.11</v>
      </c>
      <c r="E45" s="27">
        <f>'[3]万顺 (2020)'!AD14</f>
        <v>52</v>
      </c>
      <c r="F45" s="27">
        <f>'[3]万顺待核定 (2020)'!AF14</f>
        <v>52</v>
      </c>
      <c r="G45" s="19">
        <f t="shared" si="0"/>
        <v>0</v>
      </c>
      <c r="H45" s="19">
        <f t="shared" si="2"/>
        <v>55.56</v>
      </c>
      <c r="I45" s="27">
        <f t="shared" si="4"/>
        <v>0</v>
      </c>
      <c r="J45" s="19">
        <f t="shared" si="3"/>
        <v>55.56</v>
      </c>
      <c r="K45" s="33"/>
    </row>
    <row r="46" spans="5:10" s="2" customFormat="1" ht="21.75" customHeight="1">
      <c r="E46" s="4"/>
      <c r="F46" s="4"/>
      <c r="G46" s="4"/>
      <c r="H46" s="4"/>
      <c r="I46" s="4"/>
      <c r="J46" s="4"/>
    </row>
    <row r="47" spans="5:10" s="2" customFormat="1" ht="21.75" customHeight="1">
      <c r="E47" s="4"/>
      <c r="F47" s="4"/>
      <c r="G47" s="4"/>
      <c r="H47" s="4"/>
      <c r="I47" s="4"/>
      <c r="J47" s="4"/>
    </row>
    <row r="48" spans="5:10" s="2" customFormat="1" ht="13.5">
      <c r="E48" s="4"/>
      <c r="F48" s="4"/>
      <c r="G48" s="4"/>
      <c r="H48" s="4"/>
      <c r="I48" s="4"/>
      <c r="J48" s="4"/>
    </row>
    <row r="49" spans="5:10" s="2" customFormat="1" ht="13.5">
      <c r="E49" s="4"/>
      <c r="F49" s="4"/>
      <c r="G49" s="4"/>
      <c r="H49" s="4"/>
      <c r="I49" s="4"/>
      <c r="J49" s="4"/>
    </row>
    <row r="50" spans="1:10" s="2" customFormat="1" ht="13.5">
      <c r="A50" s="34"/>
      <c r="E50" s="4"/>
      <c r="F50" s="4"/>
      <c r="G50" s="4"/>
      <c r="H50" s="4"/>
      <c r="I50" s="4"/>
      <c r="J50" s="4"/>
    </row>
    <row r="51" spans="3:10" s="2" customFormat="1" ht="13.5">
      <c r="C51" s="35"/>
      <c r="D51" s="35"/>
      <c r="E51" s="44"/>
      <c r="F51" s="44"/>
      <c r="G51" s="44"/>
      <c r="H51" s="44"/>
      <c r="I51" s="44"/>
      <c r="J51" s="44"/>
    </row>
  </sheetData>
  <sheetProtection/>
  <mergeCells count="6">
    <mergeCell ref="A2:K2"/>
    <mergeCell ref="C3:D3"/>
    <mergeCell ref="E3:F3"/>
    <mergeCell ref="A3:A4"/>
    <mergeCell ref="B3:B4"/>
    <mergeCell ref="K3:K4"/>
  </mergeCells>
  <printOptions/>
  <pageMargins left="0.7513888888888889" right="0.7513888888888889" top="0.7479166666666667" bottom="0.7083333333333334" header="0.5" footer="0.39305555555555555"/>
  <pageSetup firstPageNumber="19" useFirstPageNumber="1" fitToHeight="0" fitToWidth="1" horizontalDpi="600" verticalDpi="600" orientation="landscape" paperSize="9" scale="59"/>
  <headerFooter>
    <oddFooter>&amp;C第 &amp;P 页</oddFooter>
  </headerFooter>
  <rowBreaks count="1" manualBreakCount="1">
    <brk id="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showZeros="0" view="pageBreakPreview" zoomScale="110" zoomScaleSheetLayoutView="110" workbookViewId="0" topLeftCell="A1">
      <selection activeCell="E4" sqref="E4"/>
    </sheetView>
  </sheetViews>
  <sheetFormatPr defaultColWidth="8.75390625" defaultRowHeight="14.25"/>
  <cols>
    <col min="1" max="1" width="35.50390625" style="2" customWidth="1"/>
    <col min="2" max="2" width="24.625" style="2" customWidth="1"/>
    <col min="3" max="4" width="17.75390625" style="2" customWidth="1"/>
    <col min="5" max="7" width="16.375" style="2" customWidth="1"/>
    <col min="8" max="8" width="45.00390625" style="2" customWidth="1"/>
    <col min="9" max="9" width="8.75390625" style="2" customWidth="1"/>
    <col min="10" max="10" width="13.75390625" style="2" bestFit="1" customWidth="1"/>
    <col min="11" max="11" width="12.625" style="2" bestFit="1" customWidth="1"/>
    <col min="12" max="16384" width="8.75390625" style="2" customWidth="1"/>
  </cols>
  <sheetData>
    <row r="1" spans="1:2" s="1" customFormat="1" ht="14.25">
      <c r="A1" s="5" t="s">
        <v>166</v>
      </c>
      <c r="B1" s="6"/>
    </row>
    <row r="2" spans="1:8" s="2" customFormat="1" ht="37.5" customHeight="1">
      <c r="A2" s="7" t="s">
        <v>167</v>
      </c>
      <c r="B2" s="7"/>
      <c r="C2" s="7"/>
      <c r="D2" s="7"/>
      <c r="E2" s="7"/>
      <c r="F2" s="7"/>
      <c r="G2" s="7"/>
      <c r="H2" s="7"/>
    </row>
    <row r="3" spans="1:8" s="3" customFormat="1" ht="33.75" customHeight="1">
      <c r="A3" s="8" t="s">
        <v>2</v>
      </c>
      <c r="B3" s="8" t="s">
        <v>3</v>
      </c>
      <c r="C3" s="9" t="s">
        <v>4</v>
      </c>
      <c r="D3" s="9"/>
      <c r="E3" s="10" t="s">
        <v>4</v>
      </c>
      <c r="F3" s="11"/>
      <c r="G3" s="12"/>
      <c r="H3" s="13" t="s">
        <v>8</v>
      </c>
    </row>
    <row r="4" spans="1:8" s="3" customFormat="1" ht="33.75" customHeight="1">
      <c r="A4" s="14"/>
      <c r="B4" s="14"/>
      <c r="C4" s="15" t="s">
        <v>9</v>
      </c>
      <c r="D4" s="15" t="s">
        <v>10</v>
      </c>
      <c r="E4" s="15" t="s">
        <v>11</v>
      </c>
      <c r="F4" s="15" t="s">
        <v>12</v>
      </c>
      <c r="G4" s="15" t="s">
        <v>168</v>
      </c>
      <c r="H4" s="16"/>
    </row>
    <row r="5" spans="1:8" s="4" customFormat="1" ht="30" customHeight="1">
      <c r="A5" s="17" t="s">
        <v>15</v>
      </c>
      <c r="B5" s="17" t="s">
        <v>16</v>
      </c>
      <c r="C5" s="18">
        <v>29</v>
      </c>
      <c r="D5" s="18">
        <v>29</v>
      </c>
      <c r="E5" s="19">
        <f aca="true" t="shared" si="0" ref="E5:E45">D5-C5</f>
        <v>0</v>
      </c>
      <c r="F5" s="19">
        <f>ROUND(SUM(C5)/1,0)</f>
        <v>29</v>
      </c>
      <c r="G5" s="19">
        <f>ROUND(SUM(D5)/1,0)</f>
        <v>29</v>
      </c>
      <c r="H5" s="20" t="s">
        <v>169</v>
      </c>
    </row>
    <row r="6" spans="1:8" s="2" customFormat="1" ht="30" customHeight="1">
      <c r="A6" s="21" t="s">
        <v>17</v>
      </c>
      <c r="B6" s="17" t="s">
        <v>18</v>
      </c>
      <c r="C6" s="19">
        <f>C7</f>
        <v>53088</v>
      </c>
      <c r="D6" s="19">
        <f>D7</f>
        <v>64416</v>
      </c>
      <c r="E6" s="19">
        <f t="shared" si="0"/>
        <v>11328</v>
      </c>
      <c r="F6" s="19">
        <f aca="true" t="shared" si="1" ref="F6:F45">ROUND(SUM(C6)/1,2)</f>
        <v>53088</v>
      </c>
      <c r="G6" s="19">
        <f aca="true" t="shared" si="2" ref="G6:G45">ROUND(SUM(D6)/1,2)</f>
        <v>64416</v>
      </c>
      <c r="H6" s="22" t="s">
        <v>19</v>
      </c>
    </row>
    <row r="7" spans="1:8" s="2" customFormat="1" ht="30" customHeight="1">
      <c r="A7" s="23" t="s">
        <v>20</v>
      </c>
      <c r="B7" s="24" t="s">
        <v>21</v>
      </c>
      <c r="C7" s="25">
        <f>'[6]一凡（2021）'!AI13</f>
        <v>53088</v>
      </c>
      <c r="D7" s="25">
        <f>'[6]一凡待核定（2021）'!AK13</f>
        <v>64416</v>
      </c>
      <c r="E7" s="25">
        <f t="shared" si="0"/>
        <v>11328</v>
      </c>
      <c r="F7" s="25">
        <f t="shared" si="1"/>
        <v>53088</v>
      </c>
      <c r="G7" s="25">
        <f t="shared" si="2"/>
        <v>64416</v>
      </c>
      <c r="H7" s="26"/>
    </row>
    <row r="8" spans="1:8" s="4" customFormat="1" ht="30" customHeight="1">
      <c r="A8" s="24" t="s">
        <v>22</v>
      </c>
      <c r="B8" s="24" t="s">
        <v>23</v>
      </c>
      <c r="C8" s="25">
        <v>0.6</v>
      </c>
      <c r="D8" s="25">
        <v>0.6</v>
      </c>
      <c r="E8" s="25">
        <f t="shared" si="0"/>
        <v>0</v>
      </c>
      <c r="F8" s="25">
        <f t="shared" si="1"/>
        <v>0.6</v>
      </c>
      <c r="G8" s="25">
        <f t="shared" si="2"/>
        <v>0.6</v>
      </c>
      <c r="H8" s="26"/>
    </row>
    <row r="9" spans="1:8" s="2" customFormat="1" ht="30" customHeight="1">
      <c r="A9" s="21" t="s">
        <v>24</v>
      </c>
      <c r="B9" s="17" t="s">
        <v>25</v>
      </c>
      <c r="C9" s="19">
        <f>'[6]一凡（2021）'!AG13</f>
        <v>130</v>
      </c>
      <c r="D9" s="19">
        <f>'[6]一凡待核定（2021）'!AI13</f>
        <v>170</v>
      </c>
      <c r="E9" s="19">
        <f t="shared" si="0"/>
        <v>40</v>
      </c>
      <c r="F9" s="19">
        <f t="shared" si="1"/>
        <v>130</v>
      </c>
      <c r="G9" s="19">
        <f t="shared" si="2"/>
        <v>170</v>
      </c>
      <c r="H9" s="20"/>
    </row>
    <row r="10" spans="1:8" s="2" customFormat="1" ht="30" customHeight="1">
      <c r="A10" s="21" t="s">
        <v>26</v>
      </c>
      <c r="B10" s="17" t="s">
        <v>27</v>
      </c>
      <c r="C10" s="19">
        <f>C6/C9/12</f>
        <v>34.03076923076923</v>
      </c>
      <c r="D10" s="19">
        <f>D6/D9/12</f>
        <v>31.576470588235296</v>
      </c>
      <c r="E10" s="19">
        <f t="shared" si="0"/>
        <v>-2.454298642533935</v>
      </c>
      <c r="F10" s="19">
        <f t="shared" si="1"/>
        <v>34.03</v>
      </c>
      <c r="G10" s="19">
        <f t="shared" si="2"/>
        <v>31.58</v>
      </c>
      <c r="H10" s="22" t="s">
        <v>28</v>
      </c>
    </row>
    <row r="11" spans="1:8" s="2" customFormat="1" ht="30" customHeight="1">
      <c r="A11" s="21" t="s">
        <v>29</v>
      </c>
      <c r="B11" s="17" t="s">
        <v>30</v>
      </c>
      <c r="C11" s="27">
        <v>0.6</v>
      </c>
      <c r="D11" s="27">
        <v>0.6</v>
      </c>
      <c r="E11" s="19">
        <f t="shared" si="0"/>
        <v>0</v>
      </c>
      <c r="F11" s="19">
        <f t="shared" si="1"/>
        <v>0.6</v>
      </c>
      <c r="G11" s="19">
        <f t="shared" si="2"/>
        <v>0.6</v>
      </c>
      <c r="H11" s="28"/>
    </row>
    <row r="12" spans="1:8" s="2" customFormat="1" ht="30" customHeight="1">
      <c r="A12" s="21" t="s">
        <v>31</v>
      </c>
      <c r="B12" s="17" t="s">
        <v>32</v>
      </c>
      <c r="C12" s="19">
        <f>'[6]一凡（2021）'!AL13</f>
        <v>125294.4</v>
      </c>
      <c r="D12" s="19">
        <f>'[6]一凡待核定（2021）'!AK13</f>
        <v>64416</v>
      </c>
      <c r="E12" s="19">
        <f t="shared" si="0"/>
        <v>-60878.399999999994</v>
      </c>
      <c r="F12" s="19">
        <f t="shared" si="1"/>
        <v>125294.4</v>
      </c>
      <c r="G12" s="19">
        <f t="shared" si="2"/>
        <v>64416</v>
      </c>
      <c r="H12" s="28"/>
    </row>
    <row r="13" spans="1:8" s="2" customFormat="1" ht="30" customHeight="1">
      <c r="A13" s="21" t="s">
        <v>33</v>
      </c>
      <c r="B13" s="17" t="s">
        <v>34</v>
      </c>
      <c r="C13" s="19">
        <f>SUM(C14:C16)</f>
        <v>1634.66428571429</v>
      </c>
      <c r="D13" s="19">
        <f>SUM(D14:D16)</f>
        <v>6411.23571428572</v>
      </c>
      <c r="E13" s="19">
        <f t="shared" si="0"/>
        <v>4776.57142857143</v>
      </c>
      <c r="F13" s="19">
        <f t="shared" si="1"/>
        <v>1634.66</v>
      </c>
      <c r="G13" s="19">
        <f t="shared" si="2"/>
        <v>6411.24</v>
      </c>
      <c r="H13" s="22" t="s">
        <v>170</v>
      </c>
    </row>
    <row r="14" spans="1:8" s="2" customFormat="1" ht="30" customHeight="1">
      <c r="A14" s="23" t="s">
        <v>36</v>
      </c>
      <c r="B14" s="24" t="s">
        <v>37</v>
      </c>
      <c r="C14" s="25"/>
      <c r="D14" s="25">
        <f>'[6]一凡待核定（2021）'!AM13</f>
        <v>4776.57142857143</v>
      </c>
      <c r="E14" s="25">
        <f t="shared" si="0"/>
        <v>4776.57142857143</v>
      </c>
      <c r="F14" s="25">
        <f t="shared" si="1"/>
        <v>0</v>
      </c>
      <c r="G14" s="25">
        <f t="shared" si="2"/>
        <v>4776.57</v>
      </c>
      <c r="H14" s="29" t="s">
        <v>38</v>
      </c>
    </row>
    <row r="15" spans="1:8" s="2" customFormat="1" ht="30" customHeight="1">
      <c r="A15" s="23" t="s">
        <v>39</v>
      </c>
      <c r="B15" s="24" t="s">
        <v>40</v>
      </c>
      <c r="C15" s="25">
        <f>'[6]一凡（2021）'!AJ13</f>
        <v>1634.66428571429</v>
      </c>
      <c r="D15" s="25">
        <f>'[6]一凡待核定（2021）'!AL13</f>
        <v>1634.66428571429</v>
      </c>
      <c r="E15" s="25">
        <f t="shared" si="0"/>
        <v>0</v>
      </c>
      <c r="F15" s="25">
        <f t="shared" si="1"/>
        <v>1634.66</v>
      </c>
      <c r="G15" s="25">
        <f t="shared" si="2"/>
        <v>1634.66</v>
      </c>
      <c r="H15" s="29" t="s">
        <v>38</v>
      </c>
    </row>
    <row r="16" spans="1:8" s="2" customFormat="1" ht="30" customHeight="1">
      <c r="A16" s="23" t="s">
        <v>41</v>
      </c>
      <c r="B16" s="24" t="s">
        <v>42</v>
      </c>
      <c r="C16" s="25"/>
      <c r="D16" s="25"/>
      <c r="E16" s="25">
        <f t="shared" si="0"/>
        <v>0</v>
      </c>
      <c r="F16" s="25">
        <f t="shared" si="1"/>
        <v>0</v>
      </c>
      <c r="G16" s="25">
        <f t="shared" si="2"/>
        <v>0</v>
      </c>
      <c r="H16" s="30"/>
    </row>
    <row r="17" spans="1:8" s="2" customFormat="1" ht="30" customHeight="1">
      <c r="A17" s="21" t="s">
        <v>43</v>
      </c>
      <c r="B17" s="17" t="s">
        <v>44</v>
      </c>
      <c r="C17" s="19">
        <f>C18+C21+C23+C24+C25+C26+C32</f>
        <v>141182.16999999998</v>
      </c>
      <c r="D17" s="19">
        <f>D18+D21+D23+D24+D25+D26+D32</f>
        <v>158498.33999999997</v>
      </c>
      <c r="E17" s="19">
        <f t="shared" si="0"/>
        <v>17316.169999999984</v>
      </c>
      <c r="F17" s="19">
        <f t="shared" si="1"/>
        <v>141182.17</v>
      </c>
      <c r="G17" s="19">
        <f t="shared" si="2"/>
        <v>158498.34</v>
      </c>
      <c r="H17" s="28"/>
    </row>
    <row r="18" spans="1:8" s="2" customFormat="1" ht="30" customHeight="1">
      <c r="A18" s="23" t="s">
        <v>45</v>
      </c>
      <c r="B18" s="24" t="s">
        <v>46</v>
      </c>
      <c r="C18" s="25">
        <f>C19+C20</f>
        <v>60472.8</v>
      </c>
      <c r="D18" s="25">
        <f>D19+D20</f>
        <v>83782.4</v>
      </c>
      <c r="E18" s="25">
        <f t="shared" si="0"/>
        <v>23309.59999999999</v>
      </c>
      <c r="F18" s="25">
        <f t="shared" si="1"/>
        <v>60472.8</v>
      </c>
      <c r="G18" s="25">
        <f t="shared" si="2"/>
        <v>83782.4</v>
      </c>
      <c r="H18" s="24" t="s">
        <v>47</v>
      </c>
    </row>
    <row r="19" spans="1:8" s="2" customFormat="1" ht="30" customHeight="1">
      <c r="A19" s="23" t="s">
        <v>48</v>
      </c>
      <c r="B19" s="24" t="s">
        <v>49</v>
      </c>
      <c r="C19" s="25">
        <f>'[6]一凡（2021）'!M13</f>
        <v>54000</v>
      </c>
      <c r="D19" s="25">
        <f>'[6]一凡待核定（2021）'!M13</f>
        <v>74520</v>
      </c>
      <c r="E19" s="25">
        <f t="shared" si="0"/>
        <v>20520</v>
      </c>
      <c r="F19" s="25">
        <f t="shared" si="1"/>
        <v>54000</v>
      </c>
      <c r="G19" s="25">
        <f t="shared" si="2"/>
        <v>74520</v>
      </c>
      <c r="H19" s="26"/>
    </row>
    <row r="20" spans="1:8" s="2" customFormat="1" ht="30" customHeight="1">
      <c r="A20" s="23" t="s">
        <v>51</v>
      </c>
      <c r="B20" s="24" t="s">
        <v>52</v>
      </c>
      <c r="C20" s="25">
        <f>'[6]一凡（2021）'!N13</f>
        <v>6472.8</v>
      </c>
      <c r="D20" s="25">
        <f>'[6]一凡待核定（2021）'!P13+'[6]一凡待核定（2021）'!O13</f>
        <v>9262.4</v>
      </c>
      <c r="E20" s="25">
        <f t="shared" si="0"/>
        <v>2789.5999999999995</v>
      </c>
      <c r="F20" s="25">
        <f t="shared" si="1"/>
        <v>6472.8</v>
      </c>
      <c r="G20" s="25">
        <f t="shared" si="2"/>
        <v>9262.4</v>
      </c>
      <c r="H20" s="29" t="s">
        <v>157</v>
      </c>
    </row>
    <row r="21" spans="1:8" s="2" customFormat="1" ht="30" customHeight="1">
      <c r="A21" s="24" t="s">
        <v>54</v>
      </c>
      <c r="B21" s="24" t="s">
        <v>55</v>
      </c>
      <c r="C21" s="25">
        <f>'[10]一凡（2021）'!K13</f>
        <v>7303.82</v>
      </c>
      <c r="D21" s="25">
        <f>'[10]一凡待核定（2021）'!K13</f>
        <v>4464.92</v>
      </c>
      <c r="E21" s="25">
        <f t="shared" si="0"/>
        <v>-2838.8999999999996</v>
      </c>
      <c r="F21" s="25">
        <f t="shared" si="1"/>
        <v>7303.82</v>
      </c>
      <c r="G21" s="25">
        <f t="shared" si="2"/>
        <v>4464.92</v>
      </c>
      <c r="H21" s="29" t="s">
        <v>56</v>
      </c>
    </row>
    <row r="22" spans="1:8" s="2" customFormat="1" ht="30" customHeight="1">
      <c r="A22" s="24" t="s">
        <v>57</v>
      </c>
      <c r="B22" s="24" t="s">
        <v>58</v>
      </c>
      <c r="C22" s="25">
        <f>'[10]一凡（2021）'!H13</f>
        <v>7</v>
      </c>
      <c r="D22" s="25">
        <f>'[10]一凡待核定（2021）'!H13</f>
        <v>11.43</v>
      </c>
      <c r="E22" s="25">
        <f t="shared" si="0"/>
        <v>4.43</v>
      </c>
      <c r="F22" s="25">
        <f t="shared" si="1"/>
        <v>7</v>
      </c>
      <c r="G22" s="25">
        <f t="shared" si="2"/>
        <v>11.43</v>
      </c>
      <c r="H22" s="29" t="s">
        <v>59</v>
      </c>
    </row>
    <row r="23" spans="1:8" s="2" customFormat="1" ht="30" customHeight="1">
      <c r="A23" s="23" t="s">
        <v>60</v>
      </c>
      <c r="B23" s="24" t="s">
        <v>61</v>
      </c>
      <c r="C23" s="25">
        <f>'[6]一凡（2021）'!O13+'[6]一凡（2021）'!P13+'[6]一凡（2021）'!Q13</f>
        <v>9252.400000000001</v>
      </c>
      <c r="D23" s="25">
        <f>'[6]一凡待核定（2021）'!Q13+'[6]一凡待核定（2021）'!R13+'[6]一凡待核定（2021）'!S13</f>
        <v>9252.400000000001</v>
      </c>
      <c r="E23" s="25">
        <f t="shared" si="0"/>
        <v>0</v>
      </c>
      <c r="F23" s="25">
        <f t="shared" si="1"/>
        <v>9252.4</v>
      </c>
      <c r="G23" s="25">
        <f t="shared" si="2"/>
        <v>9252.4</v>
      </c>
      <c r="H23" s="29" t="s">
        <v>38</v>
      </c>
    </row>
    <row r="24" spans="1:8" s="2" customFormat="1" ht="30" customHeight="1">
      <c r="A24" s="23" t="s">
        <v>62</v>
      </c>
      <c r="B24" s="24" t="s">
        <v>63</v>
      </c>
      <c r="C24" s="25">
        <f>'[6]一凡（2021）'!R13</f>
        <v>50149.44</v>
      </c>
      <c r="D24" s="25">
        <f>'[6]一凡待核定（2021）'!T13</f>
        <v>47924.2</v>
      </c>
      <c r="E24" s="25">
        <f t="shared" si="0"/>
        <v>-2225.2400000000052</v>
      </c>
      <c r="F24" s="25">
        <f t="shared" si="1"/>
        <v>50149.44</v>
      </c>
      <c r="G24" s="25">
        <f t="shared" si="2"/>
        <v>47924.2</v>
      </c>
      <c r="H24" s="29" t="s">
        <v>171</v>
      </c>
    </row>
    <row r="25" spans="1:8" s="2" customFormat="1" ht="30" customHeight="1">
      <c r="A25" s="23" t="s">
        <v>65</v>
      </c>
      <c r="B25" s="24" t="s">
        <v>66</v>
      </c>
      <c r="C25" s="25">
        <f>'[6]一凡（2021）'!T13</f>
        <v>5000</v>
      </c>
      <c r="D25" s="25">
        <f>'[6]一凡待核定（2021）'!V13</f>
        <v>4070.71</v>
      </c>
      <c r="E25" s="25">
        <f t="shared" si="0"/>
        <v>-929.29</v>
      </c>
      <c r="F25" s="25">
        <f t="shared" si="1"/>
        <v>5000</v>
      </c>
      <c r="G25" s="25">
        <f t="shared" si="2"/>
        <v>4070.71</v>
      </c>
      <c r="H25" s="29" t="s">
        <v>158</v>
      </c>
    </row>
    <row r="26" spans="1:8" s="2" customFormat="1" ht="30" customHeight="1">
      <c r="A26" s="23" t="s">
        <v>68</v>
      </c>
      <c r="B26" s="24" t="s">
        <v>69</v>
      </c>
      <c r="C26" s="25">
        <f>SUM(C27:C31)</f>
        <v>7803.71</v>
      </c>
      <c r="D26" s="25">
        <f>SUM(D27:D31)</f>
        <v>7803.71</v>
      </c>
      <c r="E26" s="25">
        <f t="shared" si="0"/>
        <v>0</v>
      </c>
      <c r="F26" s="25">
        <f t="shared" si="1"/>
        <v>7803.71</v>
      </c>
      <c r="G26" s="25">
        <f t="shared" si="2"/>
        <v>7803.71</v>
      </c>
      <c r="H26" s="29" t="s">
        <v>38</v>
      </c>
    </row>
    <row r="27" spans="1:8" s="2" customFormat="1" ht="30" customHeight="1">
      <c r="A27" s="23" t="s">
        <v>70</v>
      </c>
      <c r="B27" s="24" t="s">
        <v>71</v>
      </c>
      <c r="C27" s="25"/>
      <c r="D27" s="25"/>
      <c r="E27" s="25">
        <f t="shared" si="0"/>
        <v>0</v>
      </c>
      <c r="F27" s="25">
        <f t="shared" si="1"/>
        <v>0</v>
      </c>
      <c r="G27" s="25">
        <f t="shared" si="2"/>
        <v>0</v>
      </c>
      <c r="H27" s="31"/>
    </row>
    <row r="28" spans="1:8" s="2" customFormat="1" ht="30" customHeight="1">
      <c r="A28" s="23" t="s">
        <v>72</v>
      </c>
      <c r="B28" s="24" t="s">
        <v>73</v>
      </c>
      <c r="C28" s="25"/>
      <c r="D28" s="25"/>
      <c r="E28" s="25">
        <f t="shared" si="0"/>
        <v>0</v>
      </c>
      <c r="F28" s="25">
        <f t="shared" si="1"/>
        <v>0</v>
      </c>
      <c r="G28" s="25">
        <f t="shared" si="2"/>
        <v>0</v>
      </c>
      <c r="H28" s="31"/>
    </row>
    <row r="29" spans="1:8" s="2" customFormat="1" ht="30" customHeight="1">
      <c r="A29" s="23" t="s">
        <v>74</v>
      </c>
      <c r="B29" s="24" t="s">
        <v>75</v>
      </c>
      <c r="C29" s="25">
        <f>'[6]一凡（2021）'!S13</f>
        <v>360</v>
      </c>
      <c r="D29" s="25">
        <f>'[6]一凡待核定（2021）'!U13</f>
        <v>360</v>
      </c>
      <c r="E29" s="25">
        <f t="shared" si="0"/>
        <v>0</v>
      </c>
      <c r="F29" s="25">
        <f t="shared" si="1"/>
        <v>360</v>
      </c>
      <c r="G29" s="25">
        <f t="shared" si="2"/>
        <v>360</v>
      </c>
      <c r="H29" s="31"/>
    </row>
    <row r="30" spans="1:8" s="2" customFormat="1" ht="30" customHeight="1">
      <c r="A30" s="23" t="s">
        <v>76</v>
      </c>
      <c r="B30" s="24" t="s">
        <v>77</v>
      </c>
      <c r="C30" s="25">
        <f>'[6]一凡（2021）'!U13+'[6]一凡（2021）'!V13</f>
        <v>1338.57</v>
      </c>
      <c r="D30" s="25">
        <f>'[6]一凡待核定（2021）'!W13+'[6]一凡待核定（2021）'!X13</f>
        <v>1338.57</v>
      </c>
      <c r="E30" s="25">
        <f t="shared" si="0"/>
        <v>0</v>
      </c>
      <c r="F30" s="25">
        <f t="shared" si="1"/>
        <v>1338.57</v>
      </c>
      <c r="G30" s="25">
        <f t="shared" si="2"/>
        <v>1338.57</v>
      </c>
      <c r="H30" s="31"/>
    </row>
    <row r="31" spans="1:8" s="2" customFormat="1" ht="30" customHeight="1">
      <c r="A31" s="23" t="s">
        <v>78</v>
      </c>
      <c r="B31" s="24" t="s">
        <v>79</v>
      </c>
      <c r="C31" s="25">
        <f>'[6]一凡（2021）'!Y13+'[6]一凡（2021）'!X13+'[6]一凡（2021）'!W13+'[6]一凡（2021）'!Z13</f>
        <v>6105.14</v>
      </c>
      <c r="D31" s="25">
        <f>'[6]一凡待核定（2021）'!Z13+'[6]一凡待核定（2021）'!AA13+'[6]一凡待核定（2021）'!AB13+'[6]一凡待核定（2021）'!Y13</f>
        <v>6105.14</v>
      </c>
      <c r="E31" s="25">
        <f t="shared" si="0"/>
        <v>0</v>
      </c>
      <c r="F31" s="25">
        <f t="shared" si="1"/>
        <v>6105.14</v>
      </c>
      <c r="G31" s="25">
        <f t="shared" si="2"/>
        <v>6105.14</v>
      </c>
      <c r="H31" s="31"/>
    </row>
    <row r="32" spans="1:8" s="2" customFormat="1" ht="30" customHeight="1">
      <c r="A32" s="23" t="s">
        <v>80</v>
      </c>
      <c r="B32" s="24" t="s">
        <v>81</v>
      </c>
      <c r="C32" s="25">
        <f>'[6]一凡（2021）'!AA13</f>
        <v>1200</v>
      </c>
      <c r="D32" s="25">
        <f>'[6]一凡待核定（2021）'!AC13</f>
        <v>1200</v>
      </c>
      <c r="E32" s="25">
        <f t="shared" si="0"/>
        <v>0</v>
      </c>
      <c r="F32" s="25">
        <f t="shared" si="1"/>
        <v>1200</v>
      </c>
      <c r="G32" s="25">
        <f t="shared" si="2"/>
        <v>1200</v>
      </c>
      <c r="H32" s="31"/>
    </row>
    <row r="33" spans="1:8" s="2" customFormat="1" ht="30" customHeight="1">
      <c r="A33" s="21" t="s">
        <v>82</v>
      </c>
      <c r="B33" s="17" t="s">
        <v>83</v>
      </c>
      <c r="C33" s="19">
        <f>SUM(C34:C38)</f>
        <v>5485.71</v>
      </c>
      <c r="D33" s="19">
        <f>SUM(D34:D38)</f>
        <v>6976.110000000001</v>
      </c>
      <c r="E33" s="19">
        <f t="shared" si="0"/>
        <v>1490.4000000000005</v>
      </c>
      <c r="F33" s="19">
        <f t="shared" si="1"/>
        <v>5485.71</v>
      </c>
      <c r="G33" s="19">
        <f t="shared" si="2"/>
        <v>6976.11</v>
      </c>
      <c r="H33" s="22" t="s">
        <v>38</v>
      </c>
    </row>
    <row r="34" spans="1:8" s="2" customFormat="1" ht="30" customHeight="1">
      <c r="A34" s="23" t="s">
        <v>84</v>
      </c>
      <c r="B34" s="24" t="s">
        <v>85</v>
      </c>
      <c r="C34" s="25"/>
      <c r="D34" s="25"/>
      <c r="E34" s="25">
        <f t="shared" si="0"/>
        <v>0</v>
      </c>
      <c r="F34" s="25">
        <f t="shared" si="1"/>
        <v>0</v>
      </c>
      <c r="G34" s="25">
        <f t="shared" si="2"/>
        <v>0</v>
      </c>
      <c r="H34" s="29"/>
    </row>
    <row r="35" spans="1:8" s="2" customFormat="1" ht="30" customHeight="1">
      <c r="A35" s="32" t="s">
        <v>86</v>
      </c>
      <c r="B35" s="24" t="s">
        <v>87</v>
      </c>
      <c r="C35" s="25">
        <f>'[6]一凡（2021）'!L13</f>
        <v>5485.71</v>
      </c>
      <c r="D35" s="25">
        <f>'[6]一凡待核定（2021）'!L13</f>
        <v>5485.71</v>
      </c>
      <c r="E35" s="25">
        <f t="shared" si="0"/>
        <v>0</v>
      </c>
      <c r="F35" s="25">
        <f t="shared" si="1"/>
        <v>5485.71</v>
      </c>
      <c r="G35" s="25">
        <f t="shared" si="2"/>
        <v>5485.71</v>
      </c>
      <c r="H35" s="29" t="s">
        <v>38</v>
      </c>
    </row>
    <row r="36" spans="1:8" s="2" customFormat="1" ht="30" customHeight="1">
      <c r="A36" s="23" t="s">
        <v>88</v>
      </c>
      <c r="B36" s="24" t="s">
        <v>89</v>
      </c>
      <c r="C36" s="25"/>
      <c r="D36" s="25"/>
      <c r="E36" s="25">
        <f t="shared" si="0"/>
        <v>0</v>
      </c>
      <c r="F36" s="25">
        <f t="shared" si="1"/>
        <v>0</v>
      </c>
      <c r="G36" s="25">
        <f t="shared" si="2"/>
        <v>0</v>
      </c>
      <c r="H36" s="29"/>
    </row>
    <row r="37" spans="1:8" s="2" customFormat="1" ht="30" customHeight="1">
      <c r="A37" s="23" t="s">
        <v>90</v>
      </c>
      <c r="B37" s="24" t="s">
        <v>91</v>
      </c>
      <c r="C37" s="25"/>
      <c r="D37" s="25">
        <f>'[6]一凡待核定（2021）'!N13</f>
        <v>1490.4</v>
      </c>
      <c r="E37" s="25">
        <f t="shared" si="0"/>
        <v>1490.4</v>
      </c>
      <c r="F37" s="25">
        <f t="shared" si="1"/>
        <v>0</v>
      </c>
      <c r="G37" s="25">
        <f t="shared" si="2"/>
        <v>1490.4</v>
      </c>
      <c r="H37" s="29"/>
    </row>
    <row r="38" spans="1:8" s="2" customFormat="1" ht="30" customHeight="1">
      <c r="A38" s="23" t="s">
        <v>92</v>
      </c>
      <c r="B38" s="24" t="s">
        <v>93</v>
      </c>
      <c r="C38" s="25"/>
      <c r="D38" s="25"/>
      <c r="E38" s="25">
        <f t="shared" si="0"/>
        <v>0</v>
      </c>
      <c r="F38" s="25">
        <f t="shared" si="1"/>
        <v>0</v>
      </c>
      <c r="G38" s="25">
        <f t="shared" si="2"/>
        <v>0</v>
      </c>
      <c r="H38" s="31"/>
    </row>
    <row r="39" spans="1:8" s="2" customFormat="1" ht="30" customHeight="1">
      <c r="A39" s="21" t="s">
        <v>94</v>
      </c>
      <c r="B39" s="17" t="s">
        <v>95</v>
      </c>
      <c r="C39" s="19"/>
      <c r="D39" s="19"/>
      <c r="E39" s="25">
        <f t="shared" si="0"/>
        <v>0</v>
      </c>
      <c r="F39" s="25">
        <f t="shared" si="1"/>
        <v>0</v>
      </c>
      <c r="G39" s="25">
        <f t="shared" si="2"/>
        <v>0</v>
      </c>
      <c r="H39" s="31"/>
    </row>
    <row r="40" spans="1:8" s="2" customFormat="1" ht="30" customHeight="1">
      <c r="A40" s="21" t="s">
        <v>96</v>
      </c>
      <c r="B40" s="17" t="s">
        <v>97</v>
      </c>
      <c r="C40" s="19">
        <f>C17+C33+C39</f>
        <v>146667.87999999998</v>
      </c>
      <c r="D40" s="19">
        <f>D17+D33+D39</f>
        <v>165474.44999999995</v>
      </c>
      <c r="E40" s="19">
        <f t="shared" si="0"/>
        <v>18806.569999999978</v>
      </c>
      <c r="F40" s="19">
        <f t="shared" si="1"/>
        <v>146667.88</v>
      </c>
      <c r="G40" s="19">
        <f t="shared" si="2"/>
        <v>165474.45</v>
      </c>
      <c r="H40" s="22" t="s">
        <v>98</v>
      </c>
    </row>
    <row r="41" spans="1:8" s="2" customFormat="1" ht="30" customHeight="1">
      <c r="A41" s="21" t="s">
        <v>99</v>
      </c>
      <c r="B41" s="17" t="s">
        <v>100</v>
      </c>
      <c r="C41" s="19">
        <f>C40-C13</f>
        <v>145033.21571428567</v>
      </c>
      <c r="D41" s="19">
        <f>D40-D13</f>
        <v>159063.21428571423</v>
      </c>
      <c r="E41" s="19">
        <f t="shared" si="0"/>
        <v>14029.998571428558</v>
      </c>
      <c r="F41" s="19">
        <f t="shared" si="1"/>
        <v>145033.22</v>
      </c>
      <c r="G41" s="19">
        <f t="shared" si="2"/>
        <v>159063.21</v>
      </c>
      <c r="H41" s="22"/>
    </row>
    <row r="42" spans="1:8" s="2" customFormat="1" ht="30" customHeight="1">
      <c r="A42" s="21" t="s">
        <v>101</v>
      </c>
      <c r="B42" s="17" t="s">
        <v>102</v>
      </c>
      <c r="C42" s="18">
        <f>'[6]一凡（2021）'!AC13</f>
        <v>7387.2</v>
      </c>
      <c r="D42" s="18">
        <f>'[6]一凡待核定（2021）'!AE13</f>
        <v>9460.8</v>
      </c>
      <c r="E42" s="19">
        <f t="shared" si="0"/>
        <v>2073.5999999999995</v>
      </c>
      <c r="F42" s="19">
        <f t="shared" si="1"/>
        <v>7387.2</v>
      </c>
      <c r="G42" s="19">
        <f t="shared" si="2"/>
        <v>9460.8</v>
      </c>
      <c r="H42" s="22" t="s">
        <v>103</v>
      </c>
    </row>
    <row r="43" spans="1:8" s="2" customFormat="1" ht="30" customHeight="1">
      <c r="A43" s="21" t="s">
        <v>104</v>
      </c>
      <c r="B43" s="17" t="s">
        <v>105</v>
      </c>
      <c r="C43" s="19">
        <f>C40/C42</f>
        <v>19.854326402425816</v>
      </c>
      <c r="D43" s="19">
        <f>D40/D42</f>
        <v>17.490534627092842</v>
      </c>
      <c r="E43" s="19">
        <f t="shared" si="0"/>
        <v>-2.363791775332974</v>
      </c>
      <c r="F43" s="19">
        <f t="shared" si="1"/>
        <v>19.85</v>
      </c>
      <c r="G43" s="19">
        <f t="shared" si="2"/>
        <v>17.49</v>
      </c>
      <c r="H43" s="22" t="s">
        <v>106</v>
      </c>
    </row>
    <row r="44" spans="1:8" s="2" customFormat="1" ht="30" customHeight="1">
      <c r="A44" s="21" t="s">
        <v>107</v>
      </c>
      <c r="B44" s="17" t="s">
        <v>108</v>
      </c>
      <c r="C44" s="19">
        <f>C43/C10</f>
        <v>0.5834227921146826</v>
      </c>
      <c r="D44" s="19">
        <f>D43/D10</f>
        <v>0.5539103738088269</v>
      </c>
      <c r="E44" s="19">
        <f t="shared" si="0"/>
        <v>-0.029512418305855714</v>
      </c>
      <c r="F44" s="19">
        <f t="shared" si="1"/>
        <v>0.58</v>
      </c>
      <c r="G44" s="19">
        <f t="shared" si="2"/>
        <v>0.55</v>
      </c>
      <c r="H44" s="31"/>
    </row>
    <row r="45" spans="1:8" s="2" customFormat="1" ht="30" customHeight="1">
      <c r="A45" s="21" t="s">
        <v>109</v>
      </c>
      <c r="B45" s="17" t="s">
        <v>110</v>
      </c>
      <c r="C45" s="19">
        <f>'[6]一凡（2021）'!AE13</f>
        <v>40.4285714285714</v>
      </c>
      <c r="D45" s="19">
        <f>'[6]一凡待核定（2021）'!AG13</f>
        <v>40.4285714285714</v>
      </c>
      <c r="E45" s="19">
        <f t="shared" si="0"/>
        <v>0</v>
      </c>
      <c r="F45" s="19">
        <f t="shared" si="1"/>
        <v>40.43</v>
      </c>
      <c r="G45" s="19">
        <f t="shared" si="2"/>
        <v>40.43</v>
      </c>
      <c r="H45" s="33"/>
    </row>
    <row r="46" s="2" customFormat="1" ht="21.75" customHeight="1"/>
    <row r="47" s="2" customFormat="1" ht="21.75" customHeight="1"/>
    <row r="50" s="2" customFormat="1" ht="13.5">
      <c r="A50" s="34"/>
    </row>
    <row r="51" spans="3:7" s="2" customFormat="1" ht="13.5">
      <c r="C51" s="35"/>
      <c r="D51" s="35"/>
      <c r="E51" s="35"/>
      <c r="F51" s="35"/>
      <c r="G51" s="35"/>
    </row>
  </sheetData>
  <sheetProtection/>
  <mergeCells count="6">
    <mergeCell ref="A2:H2"/>
    <mergeCell ref="C3:D3"/>
    <mergeCell ref="E3:G3"/>
    <mergeCell ref="A3:A4"/>
    <mergeCell ref="B3:B4"/>
    <mergeCell ref="H3:H4"/>
  </mergeCells>
  <printOptions horizontalCentered="1"/>
  <pageMargins left="0.5506944444444445" right="0.4326388888888889" top="0.6298611111111111" bottom="0.66875" header="0.5" footer="0.3145833333333333"/>
  <pageSetup firstPageNumber="21" useFirstPageNumber="1" horizontalDpi="600" verticalDpi="600" orientation="landscape" paperSize="9" scale="65"/>
  <headerFooter>
    <oddFooter>&amp;C第 &amp;P 页</oddFoot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云端顶端</cp:lastModifiedBy>
  <dcterms:created xsi:type="dcterms:W3CDTF">2016-12-02T08:54:00Z</dcterms:created>
  <dcterms:modified xsi:type="dcterms:W3CDTF">2023-08-21T08:08:48Z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254AB8D594FF4664BF98C0E705D4FED1</vt:lpwstr>
  </property>
</Properties>
</file>